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kit Nagi\Desktop\"/>
    </mc:Choice>
  </mc:AlternateContent>
  <bookViews>
    <workbookView xWindow="0" yWindow="0" windowWidth="20490" windowHeight="7770"/>
  </bookViews>
  <sheets>
    <sheet name="Introductory Costs" sheetId="1" r:id="rId1"/>
    <sheet name="Market Potential and Share" sheetId="2" r:id="rId2"/>
    <sheet name="Pricing and Unit Costs" sheetId="3" r:id="rId3"/>
    <sheet name="New Participants in Alternium" sheetId="4" r:id="rId4"/>
    <sheet name="Server Facilities and Costs" sheetId="8" r:id="rId5"/>
    <sheet name="G&amp;A Expenses" sheetId="5" r:id="rId6"/>
    <sheet name="Advertising Expenses" sheetId="9" r:id="rId7"/>
    <sheet name="Working Capital" sheetId="10" r:id="rId8"/>
    <sheet name="Side Benefits" sheetId="6" r:id="rId9"/>
    <sheet name="Equity and Debt" sheetId="7" r:id="rId10"/>
    <sheet name="Total Revenue" sheetId="11" r:id="rId11"/>
    <sheet name="Total Expenses" sheetId="12" r:id="rId12"/>
    <sheet name="Cashflows" sheetId="13" r:id="rId13"/>
    <sheet name="Assumption" sheetId="14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4" l="1"/>
  <c r="F11" i="14"/>
  <c r="E11" i="14"/>
  <c r="D11" i="14"/>
  <c r="G10" i="14"/>
  <c r="F10" i="14"/>
  <c r="E10" i="14"/>
  <c r="D10" i="14"/>
  <c r="G9" i="14"/>
  <c r="F9" i="14"/>
  <c r="E9" i="14"/>
  <c r="D9" i="14"/>
  <c r="G8" i="14"/>
  <c r="F8" i="14"/>
  <c r="E8" i="14"/>
  <c r="D8" i="14"/>
  <c r="G7" i="14"/>
  <c r="F7" i="14"/>
  <c r="E7" i="14"/>
  <c r="D7" i="14"/>
  <c r="G6" i="14"/>
  <c r="F6" i="14"/>
  <c r="E6" i="14"/>
  <c r="D6" i="14"/>
  <c r="F5" i="14"/>
  <c r="E5" i="14"/>
  <c r="D5" i="14"/>
  <c r="F4" i="14"/>
  <c r="E4" i="14"/>
  <c r="D4" i="14"/>
  <c r="G5" i="14" s="1"/>
  <c r="J3" i="14"/>
  <c r="B12" i="14" s="1"/>
  <c r="E3" i="14"/>
  <c r="D3" i="14"/>
  <c r="C2" i="14"/>
  <c r="D2" i="14" s="1"/>
  <c r="E12" i="14" l="1"/>
  <c r="B13" i="14"/>
  <c r="D12" i="14"/>
  <c r="G12" i="14" s="1"/>
  <c r="G3" i="14"/>
  <c r="G4" i="14"/>
  <c r="F3" i="14"/>
  <c r="J4" i="14" s="1"/>
  <c r="C12" i="14" s="1"/>
  <c r="C18" i="13"/>
  <c r="E16" i="13"/>
  <c r="E15" i="13"/>
  <c r="E14" i="13"/>
  <c r="F12" i="13"/>
  <c r="E4" i="13"/>
  <c r="E5" i="13"/>
  <c r="E6" i="13"/>
  <c r="E7" i="13"/>
  <c r="E8" i="13"/>
  <c r="E9" i="13"/>
  <c r="E10" i="13"/>
  <c r="E11" i="13"/>
  <c r="E3" i="13"/>
  <c r="E2" i="13"/>
  <c r="D11" i="13"/>
  <c r="C11" i="13"/>
  <c r="B11" i="13"/>
  <c r="D11" i="11"/>
  <c r="C11" i="11"/>
  <c r="B11" i="11"/>
  <c r="D4" i="13"/>
  <c r="D5" i="13"/>
  <c r="D6" i="13"/>
  <c r="D7" i="13"/>
  <c r="D8" i="13"/>
  <c r="D9" i="13"/>
  <c r="D10" i="13"/>
  <c r="D3" i="13"/>
  <c r="D2" i="13"/>
  <c r="C10" i="13"/>
  <c r="C9" i="13"/>
  <c r="C8" i="13"/>
  <c r="C7" i="13"/>
  <c r="C6" i="13"/>
  <c r="C5" i="13"/>
  <c r="C4" i="13"/>
  <c r="C3" i="13"/>
  <c r="C2" i="13"/>
  <c r="F12" i="14" l="1"/>
  <c r="C13" i="14"/>
  <c r="E13" i="14"/>
  <c r="B14" i="14"/>
  <c r="B2" i="12"/>
  <c r="E14" i="14" l="1"/>
  <c r="B15" i="14"/>
  <c r="C14" i="14"/>
  <c r="F13" i="14"/>
  <c r="D13" i="14"/>
  <c r="G13" i="14" s="1"/>
  <c r="E3" i="10"/>
  <c r="E4" i="10"/>
  <c r="E5" i="10"/>
  <c r="E6" i="10"/>
  <c r="E7" i="10"/>
  <c r="E8" i="10"/>
  <c r="E9" i="10"/>
  <c r="E10" i="10"/>
  <c r="E2" i="10"/>
  <c r="B3" i="10"/>
  <c r="B4" i="10"/>
  <c r="B5" i="10"/>
  <c r="B6" i="10"/>
  <c r="B7" i="10"/>
  <c r="B8" i="10"/>
  <c r="B9" i="10"/>
  <c r="B10" i="10"/>
  <c r="B2" i="10"/>
  <c r="D3" i="10"/>
  <c r="D4" i="10"/>
  <c r="D5" i="10"/>
  <c r="D6" i="10"/>
  <c r="D7" i="10"/>
  <c r="D8" i="10"/>
  <c r="D9" i="10"/>
  <c r="D10" i="10"/>
  <c r="D2" i="10"/>
  <c r="C3" i="10"/>
  <c r="C4" i="10"/>
  <c r="C5" i="10"/>
  <c r="C6" i="10"/>
  <c r="C7" i="10"/>
  <c r="C8" i="10"/>
  <c r="C9" i="10"/>
  <c r="C10" i="10"/>
  <c r="C2" i="10"/>
  <c r="B3" i="12"/>
  <c r="B4" i="12"/>
  <c r="B5" i="12"/>
  <c r="B6" i="12"/>
  <c r="B7" i="12"/>
  <c r="B8" i="12"/>
  <c r="B9" i="12"/>
  <c r="B10" i="12"/>
  <c r="B11" i="12"/>
  <c r="B3" i="11"/>
  <c r="B4" i="11"/>
  <c r="B5" i="11"/>
  <c r="B6" i="11"/>
  <c r="C6" i="11" s="1"/>
  <c r="D6" i="11" s="1"/>
  <c r="B7" i="11"/>
  <c r="B8" i="11"/>
  <c r="B9" i="11"/>
  <c r="B10" i="11"/>
  <c r="C10" i="11" s="1"/>
  <c r="D10" i="11" s="1"/>
  <c r="B2" i="11"/>
  <c r="C2" i="11" s="1"/>
  <c r="D2" i="11" s="1"/>
  <c r="E23" i="3"/>
  <c r="E24" i="3"/>
  <c r="E25" i="3"/>
  <c r="E26" i="3"/>
  <c r="E27" i="3"/>
  <c r="E28" i="3"/>
  <c r="E29" i="3"/>
  <c r="E30" i="3"/>
  <c r="E31" i="3"/>
  <c r="E32" i="3"/>
  <c r="E22" i="3"/>
  <c r="D32" i="3"/>
  <c r="D24" i="3"/>
  <c r="D25" i="3"/>
  <c r="D26" i="3"/>
  <c r="D27" i="3"/>
  <c r="D28" i="3"/>
  <c r="D29" i="3"/>
  <c r="D30" i="3"/>
  <c r="D31" i="3"/>
  <c r="D23" i="3"/>
  <c r="D22" i="3"/>
  <c r="C9" i="11"/>
  <c r="D9" i="11" s="1"/>
  <c r="C8" i="11"/>
  <c r="D8" i="11" s="1"/>
  <c r="C7" i="11"/>
  <c r="D7" i="11" s="1"/>
  <c r="C5" i="11"/>
  <c r="D5" i="11" s="1"/>
  <c r="C4" i="11"/>
  <c r="D4" i="11" s="1"/>
  <c r="D3" i="11"/>
  <c r="C3" i="11"/>
  <c r="F14" i="14" l="1"/>
  <c r="C15" i="14"/>
  <c r="D14" i="14"/>
  <c r="G14" i="14" s="1"/>
  <c r="E15" i="14"/>
  <c r="B16" i="14"/>
  <c r="D15" i="14"/>
  <c r="B5" i="9"/>
  <c r="B6" i="9"/>
  <c r="B7" i="9"/>
  <c r="B8" i="9"/>
  <c r="E8" i="9" s="1"/>
  <c r="B9" i="9"/>
  <c r="B10" i="9"/>
  <c r="B11" i="9"/>
  <c r="B12" i="9"/>
  <c r="B4" i="9"/>
  <c r="E4" i="9" s="1"/>
  <c r="B3" i="9"/>
  <c r="E3" i="9" s="1"/>
  <c r="E5" i="9"/>
  <c r="E6" i="9"/>
  <c r="E7" i="9"/>
  <c r="D15" i="8"/>
  <c r="D14" i="8"/>
  <c r="D13" i="8"/>
  <c r="D12" i="8"/>
  <c r="D11" i="8"/>
  <c r="D10" i="8"/>
  <c r="D9" i="8"/>
  <c r="D8" i="8"/>
  <c r="E7" i="8"/>
  <c r="E8" i="8" s="1"/>
  <c r="E9" i="8" s="1"/>
  <c r="E10" i="8" s="1"/>
  <c r="E11" i="8" s="1"/>
  <c r="E12" i="8" s="1"/>
  <c r="E13" i="8" s="1"/>
  <c r="E14" i="8" s="1"/>
  <c r="E15" i="8" s="1"/>
  <c r="D7" i="8"/>
  <c r="E6" i="8"/>
  <c r="D6" i="8"/>
  <c r="B7" i="7"/>
  <c r="B5" i="7"/>
  <c r="E4" i="7"/>
  <c r="G15" i="14" l="1"/>
  <c r="C16" i="14"/>
  <c r="F16" i="14" s="1"/>
  <c r="F15" i="14"/>
  <c r="E16" i="14"/>
  <c r="J4" i="6"/>
  <c r="G7" i="6"/>
  <c r="G5" i="6"/>
  <c r="C7" i="6"/>
  <c r="C8" i="6"/>
  <c r="C9" i="6"/>
  <c r="C10" i="6"/>
  <c r="C11" i="6"/>
  <c r="C12" i="6"/>
  <c r="C13" i="6"/>
  <c r="C14" i="6"/>
  <c r="C15" i="6"/>
  <c r="C6" i="6"/>
  <c r="L18" i="5"/>
  <c r="L10" i="5"/>
  <c r="L11" i="5"/>
  <c r="L12" i="5"/>
  <c r="L13" i="5"/>
  <c r="L14" i="5"/>
  <c r="L15" i="5"/>
  <c r="L16" i="5"/>
  <c r="L17" i="5"/>
  <c r="L9" i="5"/>
  <c r="L8" i="5"/>
  <c r="L7" i="5"/>
  <c r="H10" i="5"/>
  <c r="H11" i="5"/>
  <c r="H12" i="5"/>
  <c r="H13" i="5"/>
  <c r="H14" i="5"/>
  <c r="H15" i="5"/>
  <c r="H16" i="5"/>
  <c r="H17" i="5"/>
  <c r="H9" i="5"/>
  <c r="H8" i="5"/>
  <c r="K18" i="5"/>
  <c r="K9" i="5"/>
  <c r="K10" i="5"/>
  <c r="K11" i="5"/>
  <c r="K12" i="5"/>
  <c r="K13" i="5"/>
  <c r="K14" i="5"/>
  <c r="K15" i="5"/>
  <c r="K16" i="5"/>
  <c r="K17" i="5"/>
  <c r="K8" i="5"/>
  <c r="C8" i="5"/>
  <c r="K7" i="5"/>
  <c r="G8" i="5"/>
  <c r="G9" i="5"/>
  <c r="G10" i="5"/>
  <c r="G11" i="5"/>
  <c r="G12" i="5"/>
  <c r="G13" i="5"/>
  <c r="G14" i="5"/>
  <c r="G15" i="5"/>
  <c r="G16" i="5"/>
  <c r="G17" i="5"/>
  <c r="G7" i="5"/>
  <c r="C7" i="5"/>
  <c r="C17" i="5"/>
  <c r="C9" i="5"/>
  <c r="C10" i="5"/>
  <c r="C11" i="5"/>
  <c r="D11" i="5" s="1"/>
  <c r="C12" i="5"/>
  <c r="D12" i="5" s="1"/>
  <c r="C13" i="5"/>
  <c r="C14" i="5"/>
  <c r="C15" i="5"/>
  <c r="D15" i="5" s="1"/>
  <c r="C16" i="5"/>
  <c r="D16" i="5" s="1"/>
  <c r="D19" i="5"/>
  <c r="B32" i="1"/>
  <c r="B33" i="1"/>
  <c r="B34" i="1"/>
  <c r="B35" i="1"/>
  <c r="B36" i="1"/>
  <c r="B37" i="1"/>
  <c r="B38" i="1"/>
  <c r="B39" i="1"/>
  <c r="B40" i="1"/>
  <c r="B31" i="1"/>
  <c r="B27" i="1"/>
  <c r="B26" i="1"/>
  <c r="G3" i="4"/>
  <c r="G16" i="4" s="1"/>
  <c r="G4" i="4"/>
  <c r="G17" i="4" s="1"/>
  <c r="G5" i="4"/>
  <c r="G18" i="4" s="1"/>
  <c r="G6" i="4"/>
  <c r="G19" i="4" s="1"/>
  <c r="G7" i="4"/>
  <c r="G20" i="4" s="1"/>
  <c r="G8" i="4"/>
  <c r="G21" i="4" s="1"/>
  <c r="G9" i="4"/>
  <c r="G22" i="4" s="1"/>
  <c r="G10" i="4"/>
  <c r="G23" i="4" s="1"/>
  <c r="G11" i="4"/>
  <c r="G24" i="4" s="1"/>
  <c r="G2" i="4"/>
  <c r="G15" i="4" s="1"/>
  <c r="F3" i="4"/>
  <c r="F16" i="4" s="1"/>
  <c r="F4" i="4"/>
  <c r="F17" i="4" s="1"/>
  <c r="F5" i="4"/>
  <c r="F18" i="4" s="1"/>
  <c r="F6" i="4"/>
  <c r="F19" i="4" s="1"/>
  <c r="F7" i="4"/>
  <c r="F20" i="4" s="1"/>
  <c r="F8" i="4"/>
  <c r="F21" i="4" s="1"/>
  <c r="F9" i="4"/>
  <c r="F22" i="4" s="1"/>
  <c r="F10" i="4"/>
  <c r="F23" i="4" s="1"/>
  <c r="F11" i="4"/>
  <c r="F24" i="4" s="1"/>
  <c r="F2" i="4"/>
  <c r="F15" i="4" s="1"/>
  <c r="D27" i="4"/>
  <c r="E24" i="4"/>
  <c r="E17" i="4"/>
  <c r="E18" i="4"/>
  <c r="E19" i="4"/>
  <c r="E20" i="4"/>
  <c r="E21" i="4"/>
  <c r="E22" i="4"/>
  <c r="E23" i="4"/>
  <c r="E16" i="4"/>
  <c r="D16" i="4" s="1"/>
  <c r="J4" i="3"/>
  <c r="J5" i="3"/>
  <c r="J6" i="3"/>
  <c r="J7" i="3"/>
  <c r="J8" i="3"/>
  <c r="J9" i="3"/>
  <c r="J10" i="3"/>
  <c r="J11" i="3"/>
  <c r="J12" i="3"/>
  <c r="J13" i="3"/>
  <c r="J3" i="3"/>
  <c r="I4" i="3"/>
  <c r="I5" i="3"/>
  <c r="I6" i="3"/>
  <c r="I7" i="3"/>
  <c r="I8" i="3"/>
  <c r="I9" i="3"/>
  <c r="I10" i="3"/>
  <c r="I11" i="3"/>
  <c r="I12" i="3"/>
  <c r="I13" i="3"/>
  <c r="I3" i="3"/>
  <c r="F4" i="3"/>
  <c r="F5" i="3"/>
  <c r="F6" i="3"/>
  <c r="F7" i="3"/>
  <c r="F8" i="3"/>
  <c r="F9" i="3"/>
  <c r="F10" i="3"/>
  <c r="F11" i="3"/>
  <c r="F12" i="3"/>
  <c r="F13" i="3"/>
  <c r="F3" i="3"/>
  <c r="H9" i="2"/>
  <c r="H10" i="2"/>
  <c r="H11" i="2"/>
  <c r="H12" i="2"/>
  <c r="H13" i="2"/>
  <c r="H14" i="2"/>
  <c r="H15" i="2"/>
  <c r="H16" i="2"/>
  <c r="H17" i="2"/>
  <c r="H18" i="2"/>
  <c r="H8" i="2"/>
  <c r="G9" i="2"/>
  <c r="G10" i="2"/>
  <c r="G11" i="2"/>
  <c r="G12" i="2"/>
  <c r="G13" i="2"/>
  <c r="G14" i="2"/>
  <c r="G15" i="2"/>
  <c r="G16" i="2"/>
  <c r="G17" i="2"/>
  <c r="G18" i="2"/>
  <c r="G8" i="2"/>
  <c r="C9" i="2"/>
  <c r="C10" i="2"/>
  <c r="C11" i="2"/>
  <c r="C12" i="2"/>
  <c r="C13" i="2"/>
  <c r="C14" i="2"/>
  <c r="C15" i="2"/>
  <c r="C16" i="2"/>
  <c r="C17" i="2"/>
  <c r="C18" i="2"/>
  <c r="C8" i="2"/>
  <c r="B8" i="2"/>
  <c r="B10" i="2"/>
  <c r="B11" i="2"/>
  <c r="B12" i="2"/>
  <c r="B13" i="2"/>
  <c r="B14" i="2"/>
  <c r="B15" i="2"/>
  <c r="B16" i="2"/>
  <c r="B17" i="2"/>
  <c r="B18" i="2"/>
  <c r="B9" i="2"/>
  <c r="D16" i="14" l="1"/>
  <c r="G16" i="14" s="1"/>
  <c r="D8" i="5"/>
  <c r="D14" i="5"/>
  <c r="D9" i="5"/>
  <c r="D17" i="5"/>
  <c r="D10" i="5"/>
  <c r="D13" i="5"/>
  <c r="H18" i="4"/>
  <c r="H22" i="4"/>
  <c r="F25" i="4"/>
  <c r="H23" i="4"/>
  <c r="H15" i="4"/>
  <c r="G25" i="4"/>
  <c r="H16" i="4"/>
  <c r="H24" i="4"/>
  <c r="H20" i="4"/>
  <c r="H21" i="4"/>
  <c r="H19" i="4"/>
  <c r="H17" i="4"/>
  <c r="D24" i="4"/>
  <c r="D21" i="4"/>
  <c r="D17" i="4"/>
  <c r="D23" i="4"/>
  <c r="D19" i="4"/>
  <c r="D18" i="4"/>
  <c r="D22" i="4"/>
  <c r="D20" i="4"/>
  <c r="E13" i="1"/>
  <c r="E10" i="1"/>
  <c r="I8" i="1"/>
  <c r="I9" i="1" s="1"/>
  <c r="H9" i="1"/>
  <c r="H10" i="1"/>
  <c r="H11" i="1"/>
  <c r="H12" i="1"/>
  <c r="H13" i="1"/>
  <c r="H14" i="1"/>
  <c r="H15" i="1"/>
  <c r="H16" i="1"/>
  <c r="H17" i="1"/>
  <c r="H8" i="1"/>
  <c r="H25" i="4" l="1"/>
  <c r="I10" i="1"/>
  <c r="J9" i="1"/>
  <c r="J8" i="1"/>
  <c r="E9" i="9" l="1"/>
  <c r="J10" i="1"/>
  <c r="I11" i="1"/>
  <c r="E10" i="9" l="1"/>
  <c r="I12" i="1"/>
  <c r="J11" i="1"/>
  <c r="E11" i="9" l="1"/>
  <c r="I13" i="1"/>
  <c r="J12" i="1"/>
  <c r="E12" i="9" l="1"/>
  <c r="I14" i="1"/>
  <c r="J13" i="1"/>
  <c r="I15" i="1" l="1"/>
  <c r="J14" i="1"/>
  <c r="I16" i="1" l="1"/>
  <c r="J15" i="1"/>
  <c r="I17" i="1" l="1"/>
  <c r="J17" i="1" s="1"/>
  <c r="J16" i="1"/>
</calcChain>
</file>

<file path=xl/sharedStrings.xml><?xml version="1.0" encoding="utf-8"?>
<sst xmlns="http://schemas.openxmlformats.org/spreadsheetml/2006/main" count="218" uniqueCount="124">
  <si>
    <t>Universal Swap Market Cap.</t>
  </si>
  <si>
    <t>$650 mn</t>
  </si>
  <si>
    <t>$22 bn</t>
  </si>
  <si>
    <t>$ 150 million</t>
  </si>
  <si>
    <t>Infrastructure Expenditure</t>
  </si>
  <si>
    <t>R&amp;D (till date)</t>
  </si>
  <si>
    <t>Alternium</t>
  </si>
  <si>
    <t>$1 billion</t>
  </si>
  <si>
    <t>Depreciation on Infrastructure</t>
  </si>
  <si>
    <t>Life (in yrs)</t>
  </si>
  <si>
    <t>Salvage Value ( in $)</t>
  </si>
  <si>
    <t>Cost ( in $)</t>
  </si>
  <si>
    <t>Year</t>
  </si>
  <si>
    <t>Depreciation(per year)</t>
  </si>
  <si>
    <t>Cumulative Dep. On Asset</t>
  </si>
  <si>
    <t>Depreciated Value of Asset</t>
  </si>
  <si>
    <t>Universal Swap Participants</t>
  </si>
  <si>
    <t>US and Russia Participants</t>
  </si>
  <si>
    <t>International Participants</t>
  </si>
  <si>
    <t>45 million</t>
  </si>
  <si>
    <t>30 million</t>
  </si>
  <si>
    <t>Without Alternium</t>
  </si>
  <si>
    <t xml:space="preserve"> With Alternium</t>
  </si>
  <si>
    <t xml:space="preserve"> 5% for next 10 years </t>
  </si>
  <si>
    <t>US and Russia participants</t>
  </si>
  <si>
    <t xml:space="preserve">8% for next 10 years </t>
  </si>
  <si>
    <t>5% for next 10 years</t>
  </si>
  <si>
    <t>10% for next 10 years</t>
  </si>
  <si>
    <t>Participants Growth</t>
  </si>
  <si>
    <t>Pricing and Unit Costs</t>
  </si>
  <si>
    <t>Exchange Charges( per participant)</t>
  </si>
  <si>
    <t>Growth Rate ( for next 10  years)=</t>
  </si>
  <si>
    <t>Inflation Rate</t>
  </si>
  <si>
    <t>Cost of Serving( per participant)</t>
  </si>
  <si>
    <t>Price( International participants)</t>
  </si>
  <si>
    <t>Participants Growth Rate</t>
  </si>
  <si>
    <t>No.of Participants Growth</t>
  </si>
  <si>
    <t>Total Participants</t>
  </si>
  <si>
    <t>Growth Rate</t>
  </si>
  <si>
    <t>Using Compounding Formula</t>
  </si>
  <si>
    <t>Cost of Servicing ( International participants)</t>
  </si>
  <si>
    <t>International participants (per year)</t>
  </si>
  <si>
    <t>US and Russia participants (per year)</t>
  </si>
  <si>
    <t>Cost of buying a new server</t>
  </si>
  <si>
    <t>$600 million</t>
  </si>
  <si>
    <t>Cost Growth Rate=</t>
  </si>
  <si>
    <t>G&amp;A Expenses</t>
  </si>
  <si>
    <t>Total Cost (Universal swap)</t>
  </si>
  <si>
    <t xml:space="preserve">Growth Rate </t>
  </si>
  <si>
    <t>Cost Growth(Universal Swap)</t>
  </si>
  <si>
    <t xml:space="preserve">Without Alternium </t>
  </si>
  <si>
    <t>With Alternium</t>
  </si>
  <si>
    <t>Time</t>
  </si>
  <si>
    <t>Given</t>
  </si>
  <si>
    <t>Inflation rate</t>
  </si>
  <si>
    <t xml:space="preserve">Time </t>
  </si>
  <si>
    <t>Exchange Charges</t>
  </si>
  <si>
    <t>Cost of Serving</t>
  </si>
  <si>
    <t>Pricing</t>
  </si>
  <si>
    <t>Total cost of Serving</t>
  </si>
  <si>
    <t>Revenue</t>
  </si>
  <si>
    <t>Cost of Servicing</t>
  </si>
  <si>
    <t>Pricing Revenue</t>
  </si>
  <si>
    <t>Profit</t>
  </si>
  <si>
    <t>Using Capacity of server</t>
  </si>
  <si>
    <t>Total capacity</t>
  </si>
  <si>
    <t>Total capacity ( in Mn.)</t>
  </si>
  <si>
    <t>Cost of buying Server</t>
  </si>
  <si>
    <t>With  or without alternium</t>
  </si>
  <si>
    <t>Additional Cost</t>
  </si>
  <si>
    <t>Total</t>
  </si>
  <si>
    <t>Cost Growth</t>
  </si>
  <si>
    <t>Cost savings</t>
  </si>
  <si>
    <t>Increase in Cost saving</t>
  </si>
  <si>
    <t>Cost saving ( pre tax)</t>
  </si>
  <si>
    <t>Cost Saving</t>
  </si>
  <si>
    <t>Equity &amp; Debt</t>
  </si>
  <si>
    <t>Current Stock Price per Share</t>
  </si>
  <si>
    <t>No. of Shares</t>
  </si>
  <si>
    <t>No.of Shares( in Mn.)</t>
  </si>
  <si>
    <t>Total Equity</t>
  </si>
  <si>
    <t>Debt</t>
  </si>
  <si>
    <t>Debt(in Bn.)</t>
  </si>
  <si>
    <t>Server Cost</t>
  </si>
  <si>
    <t>Advertising Expenses</t>
  </si>
  <si>
    <t>(Without pool investment)</t>
  </si>
  <si>
    <t>(With pool investment)</t>
  </si>
  <si>
    <t>Advertisement cost</t>
  </si>
  <si>
    <t>expense increase</t>
  </si>
  <si>
    <t>Advertisement Expenses</t>
  </si>
  <si>
    <t>Expenses</t>
  </si>
  <si>
    <t>Amount payable annually</t>
  </si>
  <si>
    <t>Inventory</t>
  </si>
  <si>
    <t>Working capital needs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</si>
  <si>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</si>
  <si>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</si>
  <si>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</si>
  <si>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</si>
  <si>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</si>
  <si>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</si>
  <si>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</si>
  <si>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</si>
  <si>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</si>
  <si>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After Tax Revenue</t>
  </si>
  <si>
    <t>Tax</t>
  </si>
  <si>
    <t>Total Revenue</t>
  </si>
  <si>
    <t>Total Expenses</t>
  </si>
  <si>
    <t>Year (end)</t>
  </si>
  <si>
    <t>Amount Receivables</t>
  </si>
  <si>
    <t>Amount Payables</t>
  </si>
  <si>
    <t>Amount Receivable Annually</t>
  </si>
  <si>
    <t>Net Cashflow</t>
  </si>
  <si>
    <t>NPV Yearwise</t>
  </si>
  <si>
    <t>i</t>
  </si>
  <si>
    <t>Negative Cash Flow</t>
  </si>
  <si>
    <t>Total Positive Cashflow</t>
  </si>
  <si>
    <t>Net Cash Flow</t>
  </si>
  <si>
    <t>Using IRR formula</t>
  </si>
  <si>
    <t>Total expenses</t>
  </si>
  <si>
    <t>%increase in Revenue</t>
  </si>
  <si>
    <t>%increase in Expenses</t>
  </si>
  <si>
    <t>%increase in Net cash flow</t>
  </si>
  <si>
    <t>Average increase in Revenue</t>
  </si>
  <si>
    <t>Average increase in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</si>
</sst>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0.000"/>
    <numFmt numFmtId="166" formatCode="&quot;$&quot;#,##0.0000_);[Red]\(&quot;$&quot;#,##0.0000\)"/>
    <numFmt numFmtId="167" formatCode="&quot;$&quot;#,##0.000"/>
    <numFmt numFmtId="168" formatCode="&quot;$&quot;#,##0.0000"/>
    <numFmt numFmtId="169" formatCode="0.0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Leelawadee UI"/>
      <family val="2"/>
    </font>
    <font>
      <sz val="11"/>
      <color theme="1"/>
      <name val="Leelawadee UI"/>
      <family val="2"/>
    </font>
    <font>
      <b/>
      <u/>
      <sz val="11"/>
      <color theme="1"/>
      <name val="Leelawadee UI"/>
      <family val="2"/>
    </font>
    <font>
      <b/>
      <sz val="11"/>
      <color theme="1"/>
      <name val="Leelawadee UI"/>
      <family val="2"/>
    </font>
    <font>
      <b/>
      <u/>
      <sz val="12"/>
      <color theme="1"/>
      <name val="Leelawadee UI"/>
      <family val="2"/>
    </font>
    <font>
      <sz val="11"/>
      <color theme="7" tint="0.39997558519241921"/>
      <name val="Leelawadee UI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Leelawadee UI"/>
      <family val="2"/>
    </font>
    <font>
      <b/>
      <sz val="11"/>
      <color theme="0"/>
      <name val="Leelawadee U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63">
    <xf numFmtId="0" fontId="0" fillId="0" borderId="0" xfId="0"/>
    <xf numFmtId="0" fontId="2" fillId="12" borderId="1" xfId="0" applyFont="1" applyFill="1" applyBorder="1"/>
    <xf numFmtId="0" fontId="2" fillId="0" borderId="0" xfId="0" applyFont="1"/>
    <xf numFmtId="0" fontId="3" fillId="6" borderId="1" xfId="0" applyFont="1" applyFill="1" applyBorder="1"/>
    <xf numFmtId="0" fontId="1" fillId="5" borderId="1" xfId="0" applyFont="1" applyFill="1" applyBorder="1"/>
    <xf numFmtId="0" fontId="2" fillId="14" borderId="1" xfId="0" applyFont="1" applyFill="1" applyBorder="1"/>
    <xf numFmtId="0" fontId="2" fillId="9" borderId="1" xfId="0" applyFont="1" applyFill="1" applyBorder="1"/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15" borderId="1" xfId="0" applyFont="1" applyFill="1" applyBorder="1" applyAlignment="1">
      <alignment horizontal="center"/>
    </xf>
    <xf numFmtId="164" fontId="2" fillId="9" borderId="1" xfId="0" applyNumberFormat="1" applyFont="1" applyFill="1" applyBorder="1" applyAlignment="1">
      <alignment horizontal="center"/>
    </xf>
    <xf numFmtId="0" fontId="2" fillId="10" borderId="1" xfId="0" applyFont="1" applyFill="1" applyBorder="1"/>
    <xf numFmtId="164" fontId="2" fillId="10" borderId="1" xfId="0" applyNumberFormat="1" applyFont="1" applyFill="1" applyBorder="1" applyAlignment="1">
      <alignment horizontal="right"/>
    </xf>
    <xf numFmtId="165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165" fontId="2" fillId="11" borderId="1" xfId="0" applyNumberFormat="1" applyFont="1" applyFill="1" applyBorder="1" applyAlignment="1">
      <alignment horizontal="center"/>
    </xf>
    <xf numFmtId="6" fontId="2" fillId="15" borderId="1" xfId="0" applyNumberFormat="1" applyFont="1" applyFill="1" applyBorder="1" applyAlignment="1">
      <alignment horizontal="center"/>
    </xf>
    <xf numFmtId="0" fontId="2" fillId="11" borderId="1" xfId="0" applyFont="1" applyFill="1" applyBorder="1"/>
    <xf numFmtId="10" fontId="2" fillId="12" borderId="1" xfId="0" applyNumberFormat="1" applyFont="1" applyFill="1" applyBorder="1"/>
    <xf numFmtId="164" fontId="2" fillId="12" borderId="1" xfId="0" applyNumberFormat="1" applyFont="1" applyFill="1" applyBorder="1"/>
    <xf numFmtId="0" fontId="2" fillId="14" borderId="1" xfId="0" applyFont="1" applyFill="1" applyBorder="1" applyAlignment="1">
      <alignment horizontal="center"/>
    </xf>
    <xf numFmtId="10" fontId="2" fillId="14" borderId="1" xfId="0" applyNumberFormat="1" applyFont="1" applyFill="1" applyBorder="1" applyAlignment="1">
      <alignment horizontal="center"/>
    </xf>
    <xf numFmtId="164" fontId="4" fillId="9" borderId="1" xfId="0" applyNumberFormat="1" applyFont="1" applyFill="1" applyBorder="1" applyAlignment="1">
      <alignment horizontal="center"/>
    </xf>
    <xf numFmtId="164" fontId="2" fillId="12" borderId="1" xfId="0" applyNumberFormat="1" applyFont="1" applyFill="1" applyBorder="1" applyAlignment="1">
      <alignment horizontal="center"/>
    </xf>
    <xf numFmtId="0" fontId="4" fillId="16" borderId="2" xfId="0" applyFont="1" applyFill="1" applyBorder="1" applyAlignment="1">
      <alignment horizontal="center"/>
    </xf>
    <xf numFmtId="164" fontId="2" fillId="15" borderId="1" xfId="0" applyNumberFormat="1" applyFont="1" applyFill="1" applyBorder="1" applyAlignment="1">
      <alignment horizontal="center"/>
    </xf>
    <xf numFmtId="10" fontId="2" fillId="15" borderId="1" xfId="0" applyNumberFormat="1" applyFont="1" applyFill="1" applyBorder="1" applyAlignment="1">
      <alignment horizontal="center"/>
    </xf>
    <xf numFmtId="0" fontId="2" fillId="4" borderId="1" xfId="0" applyFont="1" applyFill="1" applyBorder="1"/>
    <xf numFmtId="44" fontId="2" fillId="4" borderId="1" xfId="0" applyNumberFormat="1" applyFont="1" applyFill="1" applyBorder="1"/>
    <xf numFmtId="8" fontId="2" fillId="11" borderId="1" xfId="0" applyNumberFormat="1" applyFont="1" applyFill="1" applyBorder="1"/>
    <xf numFmtId="44" fontId="2" fillId="11" borderId="1" xfId="0" applyNumberFormat="1" applyFont="1" applyFill="1" applyBorder="1"/>
    <xf numFmtId="0" fontId="6" fillId="0" borderId="0" xfId="0" applyFont="1"/>
    <xf numFmtId="44" fontId="4" fillId="18" borderId="1" xfId="0" applyNumberFormat="1" applyFont="1" applyFill="1" applyBorder="1"/>
    <xf numFmtId="0" fontId="0" fillId="0" borderId="1" xfId="0" applyBorder="1"/>
    <xf numFmtId="10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0" fillId="13" borderId="1" xfId="0" applyFill="1" applyBorder="1"/>
    <xf numFmtId="0" fontId="0" fillId="4" borderId="1" xfId="0" applyFill="1" applyBorder="1"/>
    <xf numFmtId="0" fontId="2" fillId="4" borderId="1" xfId="0" applyFont="1" applyFill="1" applyBorder="1" applyAlignment="1">
      <alignment horizontal="center"/>
    </xf>
    <xf numFmtId="0" fontId="0" fillId="11" borderId="1" xfId="0" applyFill="1" applyBorder="1"/>
    <xf numFmtId="0" fontId="0" fillId="12" borderId="1" xfId="0" applyFill="1" applyBorder="1"/>
    <xf numFmtId="0" fontId="0" fillId="3" borderId="1" xfId="0" applyFill="1" applyBorder="1"/>
    <xf numFmtId="0" fontId="0" fillId="8" borderId="1" xfId="0" applyFill="1" applyBorder="1"/>
    <xf numFmtId="0" fontId="0" fillId="12" borderId="1" xfId="0" applyFill="1" applyBorder="1" applyAlignment="1">
      <alignment horizontal="center"/>
    </xf>
    <xf numFmtId="2" fontId="2" fillId="19" borderId="1" xfId="0" applyNumberFormat="1" applyFont="1" applyFill="1" applyBorder="1" applyAlignment="1">
      <alignment horizontal="center"/>
    </xf>
    <xf numFmtId="10" fontId="2" fillId="19" borderId="1" xfId="0" applyNumberFormat="1" applyFont="1" applyFill="1" applyBorder="1" applyAlignment="1">
      <alignment horizontal="center"/>
    </xf>
    <xf numFmtId="0" fontId="0" fillId="24" borderId="1" xfId="0" applyFill="1" applyBorder="1" applyAlignment="1">
      <alignment horizontal="center"/>
    </xf>
    <xf numFmtId="0" fontId="2" fillId="19" borderId="2" xfId="0" applyFont="1" applyFill="1" applyBorder="1" applyAlignment="1"/>
    <xf numFmtId="164" fontId="0" fillId="0" borderId="1" xfId="0" applyNumberFormat="1" applyBorder="1"/>
    <xf numFmtId="0" fontId="0" fillId="7" borderId="0" xfId="0" applyFill="1"/>
    <xf numFmtId="167" fontId="0" fillId="0" borderId="1" xfId="0" applyNumberFormat="1" applyBorder="1"/>
    <xf numFmtId="164" fontId="2" fillId="12" borderId="4" xfId="0" applyNumberFormat="1" applyFont="1" applyFill="1" applyBorder="1"/>
    <xf numFmtId="0" fontId="0" fillId="0" borderId="1" xfId="0" applyFont="1" applyBorder="1" applyAlignment="1">
      <alignment horizontal="center"/>
    </xf>
    <xf numFmtId="168" fontId="0" fillId="0" borderId="1" xfId="0" applyNumberFormat="1" applyFont="1" applyBorder="1" applyAlignment="1">
      <alignment horizontal="center"/>
    </xf>
    <xf numFmtId="168" fontId="2" fillId="11" borderId="1" xfId="0" applyNumberFormat="1" applyFont="1" applyFill="1" applyBorder="1" applyAlignment="1">
      <alignment horizontal="center"/>
    </xf>
    <xf numFmtId="167" fontId="2" fillId="11" borderId="1" xfId="0" applyNumberFormat="1" applyFont="1" applyFill="1" applyBorder="1"/>
    <xf numFmtId="168" fontId="2" fillId="11" borderId="1" xfId="0" applyNumberFormat="1" applyFont="1" applyFill="1" applyBorder="1"/>
    <xf numFmtId="167" fontId="4" fillId="20" borderId="1" xfId="0" applyNumberFormat="1" applyFont="1" applyFill="1" applyBorder="1"/>
    <xf numFmtId="168" fontId="4" fillId="21" borderId="1" xfId="0" applyNumberFormat="1" applyFont="1" applyFill="1" applyBorder="1"/>
    <xf numFmtId="168" fontId="4" fillId="25" borderId="1" xfId="0" applyNumberFormat="1" applyFont="1" applyFill="1" applyBorder="1"/>
    <xf numFmtId="10" fontId="0" fillId="4" borderId="1" xfId="0" applyNumberFormat="1" applyFill="1" applyBorder="1"/>
    <xf numFmtId="10" fontId="0" fillId="11" borderId="1" xfId="0" applyNumberFormat="1" applyFill="1" applyBorder="1"/>
    <xf numFmtId="0" fontId="8" fillId="22" borderId="1" xfId="0" applyFont="1" applyFill="1" applyBorder="1"/>
    <xf numFmtId="10" fontId="2" fillId="9" borderId="1" xfId="0" applyNumberFormat="1" applyFont="1" applyFill="1" applyBorder="1"/>
    <xf numFmtId="169" fontId="2" fillId="9" borderId="1" xfId="0" applyNumberFormat="1" applyFont="1" applyFill="1" applyBorder="1"/>
    <xf numFmtId="2" fontId="4" fillId="9" borderId="1" xfId="0" applyNumberFormat="1" applyFont="1" applyFill="1" applyBorder="1" applyAlignment="1">
      <alignment horizontal="center"/>
    </xf>
    <xf numFmtId="167" fontId="0" fillId="12" borderId="1" xfId="0" applyNumberFormat="1" applyFill="1" applyBorder="1"/>
    <xf numFmtId="164" fontId="0" fillId="4" borderId="1" xfId="0" applyNumberFormat="1" applyFill="1" applyBorder="1"/>
    <xf numFmtId="0" fontId="0" fillId="12" borderId="1" xfId="0" applyFont="1" applyFill="1" applyBorder="1"/>
    <xf numFmtId="167" fontId="0" fillId="12" borderId="1" xfId="0" applyNumberFormat="1" applyFont="1" applyFill="1" applyBorder="1"/>
    <xf numFmtId="0" fontId="0" fillId="23" borderId="1" xfId="0" applyFill="1" applyBorder="1"/>
    <xf numFmtId="167" fontId="0" fillId="23" borderId="1" xfId="0" applyNumberFormat="1" applyFill="1" applyBorder="1"/>
    <xf numFmtId="164" fontId="0" fillId="23" borderId="1" xfId="0" applyNumberFormat="1" applyFill="1" applyBorder="1"/>
    <xf numFmtId="168" fontId="0" fillId="13" borderId="1" xfId="0" applyNumberFormat="1" applyFill="1" applyBorder="1"/>
    <xf numFmtId="0" fontId="7" fillId="20" borderId="1" xfId="0" applyFont="1" applyFill="1" applyBorder="1"/>
    <xf numFmtId="0" fontId="8" fillId="20" borderId="0" xfId="0" applyFont="1" applyFill="1"/>
    <xf numFmtId="164" fontId="0" fillId="3" borderId="1" xfId="0" applyNumberFormat="1" applyFill="1" applyBorder="1"/>
    <xf numFmtId="164" fontId="0" fillId="8" borderId="1" xfId="0" applyNumberFormat="1" applyFill="1" applyBorder="1"/>
    <xf numFmtId="2" fontId="0" fillId="8" borderId="1" xfId="0" applyNumberFormat="1" applyFill="1" applyBorder="1"/>
    <xf numFmtId="164" fontId="0" fillId="11" borderId="1" xfId="0" applyNumberFormat="1" applyFill="1" applyBorder="1"/>
    <xf numFmtId="0" fontId="2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4" borderId="1" xfId="0" applyFill="1" applyBorder="1"/>
    <xf numFmtId="164" fontId="0" fillId="24" borderId="1" xfId="0" applyNumberFormat="1" applyFill="1" applyBorder="1"/>
    <xf numFmtId="0" fontId="2" fillId="23" borderId="1" xfId="0" applyFont="1" applyFill="1" applyBorder="1" applyAlignment="1">
      <alignment horizontal="center"/>
    </xf>
    <xf numFmtId="166" fontId="0" fillId="23" borderId="1" xfId="0" applyNumberFormat="1" applyFill="1" applyBorder="1"/>
    <xf numFmtId="0" fontId="9" fillId="19" borderId="1" xfId="0" applyFont="1" applyFill="1" applyBorder="1" applyAlignment="1">
      <alignment horizontal="center"/>
    </xf>
    <xf numFmtId="10" fontId="9" fillId="19" borderId="1" xfId="0" applyNumberFormat="1" applyFont="1" applyFill="1" applyBorder="1" applyAlignment="1">
      <alignment horizontal="center"/>
    </xf>
    <xf numFmtId="165" fontId="9" fillId="19" borderId="1" xfId="0" applyNumberFormat="1" applyFont="1" applyFill="1" applyBorder="1" applyAlignment="1">
      <alignment horizontal="center"/>
    </xf>
    <xf numFmtId="165" fontId="10" fillId="19" borderId="1" xfId="0" applyNumberFormat="1" applyFont="1" applyFill="1" applyBorder="1" applyAlignment="1">
      <alignment horizontal="center"/>
    </xf>
    <xf numFmtId="0" fontId="10" fillId="19" borderId="1" xfId="0" applyFont="1" applyFill="1" applyBorder="1" applyAlignment="1">
      <alignment horizontal="center"/>
    </xf>
    <xf numFmtId="164" fontId="9" fillId="19" borderId="1" xfId="0" applyNumberFormat="1" applyFont="1" applyFill="1" applyBorder="1" applyAlignment="1">
      <alignment horizontal="center"/>
    </xf>
    <xf numFmtId="164" fontId="10" fillId="19" borderId="1" xfId="0" applyNumberFormat="1" applyFont="1" applyFill="1" applyBorder="1" applyAlignment="1">
      <alignment horizontal="center"/>
    </xf>
    <xf numFmtId="0" fontId="9" fillId="19" borderId="1" xfId="0" applyFont="1" applyFill="1" applyBorder="1" applyAlignment="1"/>
    <xf numFmtId="2" fontId="10" fillId="19" borderId="1" xfId="0" applyNumberFormat="1" applyFont="1" applyFill="1" applyBorder="1" applyAlignment="1">
      <alignment horizontal="center"/>
    </xf>
    <xf numFmtId="0" fontId="8" fillId="20" borderId="5" xfId="0" applyFont="1" applyFill="1" applyBorder="1"/>
    <xf numFmtId="168" fontId="0" fillId="12" borderId="1" xfId="0" applyNumberFormat="1" applyFill="1" applyBorder="1"/>
    <xf numFmtId="168" fontId="0" fillId="24" borderId="1" xfId="0" applyNumberFormat="1" applyFill="1" applyBorder="1" applyAlignment="1">
      <alignment horizontal="center"/>
    </xf>
    <xf numFmtId="0" fontId="0" fillId="19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164" fontId="0" fillId="11" borderId="1" xfId="0" applyNumberFormat="1" applyFill="1" applyBorder="1" applyAlignment="1">
      <alignment horizontal="center"/>
    </xf>
    <xf numFmtId="164" fontId="0" fillId="19" borderId="1" xfId="0" applyNumberFormat="1" applyFill="1" applyBorder="1" applyAlignment="1">
      <alignment horizontal="center"/>
    </xf>
    <xf numFmtId="164" fontId="0" fillId="8" borderId="1" xfId="0" applyNumberFormat="1" applyFill="1" applyBorder="1" applyAlignment="1">
      <alignment horizontal="center"/>
    </xf>
    <xf numFmtId="10" fontId="0" fillId="8" borderId="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8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4" fillId="2" borderId="1" xfId="0" applyFont="1" applyFill="1" applyBorder="1"/>
    <xf numFmtId="0" fontId="1" fillId="23" borderId="1" xfId="0" applyFont="1" applyFill="1" applyBorder="1" applyAlignment="1">
      <alignment horizontal="center"/>
    </xf>
    <xf numFmtId="0" fontId="8" fillId="11" borderId="1" xfId="0" applyFont="1" applyFill="1" applyBorder="1"/>
    <xf numFmtId="0" fontId="8" fillId="11" borderId="1" xfId="0" applyFont="1" applyFill="1" applyBorder="1" applyAlignment="1">
      <alignment horizontal="center" wrapText="1"/>
    </xf>
    <xf numFmtId="0" fontId="8" fillId="11" borderId="1" xfId="0" applyFont="1" applyFill="1" applyBorder="1" applyAlignment="1">
      <alignment horizontal="center"/>
    </xf>
    <xf numFmtId="164" fontId="12" fillId="14" borderId="1" xfId="1" applyNumberFormat="1" applyFont="1" applyFill="1" applyBorder="1"/>
    <xf numFmtId="0" fontId="11" fillId="0" borderId="0" xfId="1"/>
    <xf numFmtId="164" fontId="11" fillId="12" borderId="1" xfId="1" applyNumberFormat="1" applyFill="1" applyBorder="1"/>
    <xf numFmtId="164" fontId="11" fillId="0" borderId="0" xfId="1" applyNumberFormat="1"/>
    <xf numFmtId="9" fontId="11" fillId="0" borderId="0" xfId="1" applyNumberFormat="1"/>
    <xf numFmtId="8" fontId="0" fillId="0" borderId="0" xfId="0" applyNumberFormat="1"/>
    <xf numFmtId="8" fontId="0" fillId="0" borderId="1" xfId="0" applyNumberFormat="1" applyBorder="1"/>
    <xf numFmtId="9" fontId="0" fillId="0" borderId="0" xfId="0" applyNumberFormat="1"/>
    <xf numFmtId="2" fontId="0" fillId="24" borderId="1" xfId="0" applyNumberFormat="1" applyFill="1" applyBorder="1"/>
    <xf numFmtId="167" fontId="12" fillId="14" borderId="1" xfId="1" applyNumberFormat="1" applyFont="1" applyFill="1" applyBorder="1"/>
    <xf numFmtId="167" fontId="11" fillId="12" borderId="1" xfId="1" applyNumberFormat="1" applyFill="1" applyBorder="1"/>
    <xf numFmtId="167" fontId="0" fillId="0" borderId="0" xfId="0" applyNumberFormat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center"/>
    </xf>
    <xf numFmtId="8" fontId="0" fillId="11" borderId="1" xfId="0" applyNumberFormat="1" applyFill="1" applyBorder="1" applyAlignment="1">
      <alignment horizontal="center"/>
    </xf>
    <xf numFmtId="0" fontId="0" fillId="7" borderId="1" xfId="0" applyFill="1" applyBorder="1"/>
    <xf numFmtId="167" fontId="0" fillId="11" borderId="1" xfId="0" applyNumberFormat="1" applyFill="1" applyBorder="1"/>
    <xf numFmtId="168" fontId="0" fillId="0" borderId="0" xfId="0" applyNumberFormat="1"/>
    <xf numFmtId="0" fontId="0" fillId="26" borderId="1" xfId="0" applyFill="1" applyBorder="1" applyAlignment="1">
      <alignment horizontal="center"/>
    </xf>
    <xf numFmtId="9" fontId="0" fillId="26" borderId="1" xfId="0" applyNumberFormat="1" applyFill="1" applyBorder="1" applyAlignment="1">
      <alignment horizontal="center"/>
    </xf>
    <xf numFmtId="168" fontId="0" fillId="3" borderId="1" xfId="0" applyNumberFormat="1" applyFill="1" applyBorder="1"/>
    <xf numFmtId="167" fontId="0" fillId="3" borderId="1" xfId="0" applyNumberFormat="1" applyFill="1" applyBorder="1"/>
    <xf numFmtId="167" fontId="0" fillId="7" borderId="1" xfId="0" applyNumberFormat="1" applyFill="1" applyBorder="1"/>
    <xf numFmtId="9" fontId="0" fillId="7" borderId="1" xfId="0" applyNumberFormat="1" applyFill="1" applyBorder="1" applyAlignment="1">
      <alignment horizontal="center"/>
    </xf>
    <xf numFmtId="0" fontId="0" fillId="14" borderId="1" xfId="0" applyFill="1" applyBorder="1"/>
    <xf numFmtId="0" fontId="11" fillId="15" borderId="0" xfId="1" applyFill="1"/>
    <xf numFmtId="4" fontId="11" fillId="15" borderId="0" xfId="1" applyNumberFormat="1" applyFill="1"/>
    <xf numFmtId="0" fontId="0" fillId="15" borderId="0" xfId="0" applyFill="1"/>
    <xf numFmtId="10" fontId="0" fillId="15" borderId="0" xfId="0" applyNumberFormat="1" applyFill="1"/>
    <xf numFmtId="10" fontId="0" fillId="0" borderId="0" xfId="0" applyNumberFormat="1"/>
    <xf numFmtId="0" fontId="11" fillId="0" borderId="1" xfId="1" applyBorder="1"/>
    <xf numFmtId="4" fontId="11" fillId="19" borderId="1" xfId="1" applyNumberFormat="1" applyFill="1" applyBorder="1"/>
    <xf numFmtId="10" fontId="0" fillId="19" borderId="1" xfId="0" applyNumberFormat="1" applyFill="1" applyBorder="1"/>
    <xf numFmtId="0" fontId="3" fillId="5" borderId="1" xfId="0" applyFont="1" applyFill="1" applyBorder="1" applyAlignment="1">
      <alignment horizontal="center"/>
    </xf>
    <xf numFmtId="0" fontId="3" fillId="17" borderId="1" xfId="0" applyFont="1" applyFill="1" applyBorder="1" applyAlignment="1">
      <alignment horizontal="center"/>
    </xf>
    <xf numFmtId="0" fontId="5" fillId="24" borderId="1" xfId="0" applyFont="1" applyFill="1" applyBorder="1" applyAlignment="1">
      <alignment horizontal="center"/>
    </xf>
    <xf numFmtId="0" fontId="0" fillId="24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17" borderId="2" xfId="0" applyFont="1" applyFill="1" applyBorder="1" applyAlignment="1">
      <alignment horizontal="center"/>
    </xf>
    <xf numFmtId="0" fontId="3" fillId="17" borderId="3" xfId="0" applyFont="1" applyFill="1" applyBorder="1" applyAlignment="1">
      <alignment horizontal="center"/>
    </xf>
    <xf numFmtId="0" fontId="0" fillId="23" borderId="1" xfId="0" applyFill="1" applyBorder="1" applyAlignment="1">
      <alignment horizontal="center"/>
    </xf>
    <xf numFmtId="0" fontId="0" fillId="7" borderId="0" xfId="0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438150</xdr:colOff>
      <xdr:row>5</xdr:row>
      <xdr:rowOff>85725</xdr:rowOff>
    </xdr:from>
    <xdr:to>
      <xdr:col>9</xdr:col>
      <xdr:colOff>180975</xdr:colOff>
      <xdr:row>14</xdr:row>
      <xdr:rowOff>9524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7BF0A06-3E1A-4067-93AF-18F00BAE02E2}"/>
            </a:ext>
          </a:extLst>
        </xdr:cNvPr>
        <xdr:cNvSpPr txBox="1"/>
      </xdr:nvSpPr>
      <xdr:spPr>
        <a:xfrm>
          <a:off x="9867900" y="1038225"/>
          <a:ext cx="2543175" cy="16382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sz="1100"/>
            <a:t>My assumption</a:t>
          </a:r>
          <a:r>
            <a:rPr lang="en-IN" sz="1100" baseline="0"/>
            <a:t> for the given case study are quite sophesticated. I assume that crypto currency isnt going to sustain in the private market for long as it poses threat to the government and administrators across the globe. </a:t>
          </a:r>
        </a:p>
        <a:p>
          <a:r>
            <a:rPr lang="en-IN" sz="1100" baseline="0"/>
            <a:t>Hence I assume this liquidity pool will flourish for only 5 more years after the 10 years with the average growth rate.</a:t>
          </a:r>
          <a:endParaRPr lang="en-IN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topLeftCell="D1" workbookViewId="0">
      <selection activeCell="J17" sqref="J17"/>
    </sheetView>
  </sheetViews>
  <sheetFormatPr defaultColWidth="6.7109375" defaultRowHeight="16.5" x14ac:dyDescent="0.3"/>
  <cols>
    <col min="1" max="1" width="35" style="2" bestFit="1" customWidth="1"/>
    <col min="2" max="2" width="32" style="2" bestFit="1" customWidth="1"/>
    <col min="3" max="3" width="25" style="2" bestFit="1" customWidth="1"/>
    <col min="4" max="4" width="6.7109375" style="2"/>
    <col min="5" max="5" width="44.28515625" style="2" bestFit="1" customWidth="1"/>
    <col min="6" max="6" width="6.7109375" style="2"/>
    <col min="7" max="7" width="32.42578125" style="2" bestFit="1" customWidth="1"/>
    <col min="8" max="8" width="22.85546875" style="2" bestFit="1" customWidth="1"/>
    <col min="9" max="9" width="26" style="2" bestFit="1" customWidth="1"/>
    <col min="10" max="10" width="27.28515625" style="2" bestFit="1" customWidth="1"/>
    <col min="11" max="11" width="6.7109375" style="2"/>
    <col min="12" max="12" width="24.7109375" style="2" bestFit="1" customWidth="1"/>
    <col min="13" max="13" width="29.28515625" style="2" bestFit="1" customWidth="1"/>
    <col min="14" max="14" width="17.7109375" style="2" bestFit="1" customWidth="1"/>
    <col min="15" max="15" width="6.7109375" style="2"/>
    <col min="16" max="16" width="16.140625" style="7" bestFit="1" customWidth="1"/>
    <col min="17" max="17" width="29.28515625" style="7" bestFit="1" customWidth="1"/>
    <col min="18" max="18" width="28.85546875" style="7" bestFit="1" customWidth="1"/>
    <col min="19" max="16384" width="6.7109375" style="2"/>
  </cols>
  <sheetData>
    <row r="1" spans="1:19" ht="17.25" x14ac:dyDescent="0.3">
      <c r="A1" s="116" t="s">
        <v>12</v>
      </c>
      <c r="B1" s="116" t="s">
        <v>0</v>
      </c>
      <c r="C1" s="7"/>
      <c r="E1" s="3" t="s">
        <v>6</v>
      </c>
      <c r="G1" s="115" t="s">
        <v>8</v>
      </c>
      <c r="L1" s="93"/>
      <c r="M1" s="93"/>
      <c r="N1" s="93"/>
      <c r="O1" s="100"/>
      <c r="P1" s="97"/>
      <c r="Q1" s="98"/>
      <c r="R1" s="93"/>
      <c r="S1" s="100"/>
    </row>
    <row r="2" spans="1:19" ht="17.25" x14ac:dyDescent="0.3">
      <c r="A2" s="8">
        <v>2019</v>
      </c>
      <c r="B2" s="8" t="s">
        <v>1</v>
      </c>
      <c r="C2" s="7"/>
      <c r="L2" s="93"/>
      <c r="M2" s="94"/>
      <c r="N2" s="93"/>
      <c r="O2" s="100"/>
      <c r="P2" s="93"/>
      <c r="Q2" s="93"/>
      <c r="R2" s="93"/>
      <c r="S2" s="100"/>
    </row>
    <row r="3" spans="1:19" ht="17.25" x14ac:dyDescent="0.3">
      <c r="A3" s="8">
        <v>2022</v>
      </c>
      <c r="B3" s="8" t="s">
        <v>2</v>
      </c>
      <c r="C3" s="7"/>
      <c r="E3" s="4" t="s">
        <v>5</v>
      </c>
      <c r="G3" s="33" t="s">
        <v>9</v>
      </c>
      <c r="H3" s="33">
        <v>10</v>
      </c>
      <c r="I3" s="37"/>
      <c r="L3" s="93"/>
      <c r="M3" s="93"/>
      <c r="N3" s="93"/>
      <c r="O3" s="100"/>
      <c r="P3" s="93"/>
      <c r="Q3" s="94"/>
      <c r="R3" s="93"/>
      <c r="S3" s="100"/>
    </row>
    <row r="4" spans="1:19" ht="17.25" x14ac:dyDescent="0.3">
      <c r="A4" s="7"/>
      <c r="B4" s="7"/>
      <c r="C4" s="7"/>
      <c r="E4" s="4" t="s">
        <v>3</v>
      </c>
      <c r="G4" s="33" t="s">
        <v>10</v>
      </c>
      <c r="H4" s="38">
        <v>200000000</v>
      </c>
      <c r="L4" s="93"/>
      <c r="M4" s="93"/>
      <c r="N4" s="93"/>
      <c r="O4" s="100"/>
      <c r="P4" s="93"/>
      <c r="Q4" s="93"/>
      <c r="R4" s="93"/>
      <c r="S4" s="100"/>
    </row>
    <row r="5" spans="1:19" ht="17.25" x14ac:dyDescent="0.3">
      <c r="A5" s="155" t="s">
        <v>16</v>
      </c>
      <c r="B5" s="155"/>
      <c r="C5" s="155"/>
      <c r="G5" s="33" t="s">
        <v>11</v>
      </c>
      <c r="H5" s="34">
        <v>1000000000</v>
      </c>
      <c r="L5" s="93"/>
      <c r="M5" s="95"/>
      <c r="N5" s="95"/>
      <c r="O5" s="100"/>
      <c r="P5" s="93"/>
      <c r="Q5" s="98"/>
      <c r="R5" s="98"/>
      <c r="S5" s="100"/>
    </row>
    <row r="6" spans="1:19" x14ac:dyDescent="0.3">
      <c r="A6" s="9" t="s">
        <v>12</v>
      </c>
      <c r="B6" s="9" t="s">
        <v>17</v>
      </c>
      <c r="C6" s="9" t="s">
        <v>18</v>
      </c>
      <c r="E6" s="5" t="s">
        <v>4</v>
      </c>
      <c r="L6" s="93"/>
      <c r="M6" s="95"/>
      <c r="N6" s="95"/>
      <c r="O6" s="100"/>
      <c r="P6" s="93"/>
      <c r="Q6" s="98"/>
      <c r="R6" s="98"/>
      <c r="S6" s="100"/>
    </row>
    <row r="7" spans="1:19" ht="15.75" customHeight="1" x14ac:dyDescent="0.3">
      <c r="A7" s="9">
        <v>2020</v>
      </c>
      <c r="B7" s="9" t="s">
        <v>19</v>
      </c>
      <c r="C7" s="9" t="s">
        <v>20</v>
      </c>
      <c r="E7" s="5" t="s">
        <v>7</v>
      </c>
      <c r="G7" s="23" t="s">
        <v>107</v>
      </c>
      <c r="H7" s="23" t="s">
        <v>13</v>
      </c>
      <c r="I7" s="23" t="s">
        <v>14</v>
      </c>
      <c r="J7" s="23" t="s">
        <v>15</v>
      </c>
      <c r="L7" s="93"/>
      <c r="M7" s="95"/>
      <c r="N7" s="95"/>
      <c r="O7" s="100"/>
      <c r="P7" s="93"/>
      <c r="Q7" s="98"/>
      <c r="R7" s="98"/>
      <c r="S7" s="100"/>
    </row>
    <row r="8" spans="1:19" x14ac:dyDescent="0.3">
      <c r="A8" s="7"/>
      <c r="B8" s="7"/>
      <c r="C8" s="7"/>
      <c r="G8" s="23">
        <v>1</v>
      </c>
      <c r="H8" s="35">
        <f>SLN($H$5,$H$4,$H$3)</f>
        <v>80000000</v>
      </c>
      <c r="I8" s="35">
        <f>SLN($H$5,$H$4,$H$3)</f>
        <v>80000000</v>
      </c>
      <c r="J8" s="36">
        <f t="shared" ref="J8:J17" si="0">$H$5-I8</f>
        <v>920000000</v>
      </c>
      <c r="L8" s="93"/>
      <c r="M8" s="95"/>
      <c r="N8" s="95"/>
      <c r="O8" s="100"/>
      <c r="P8" s="93"/>
      <c r="Q8" s="98"/>
      <c r="R8" s="98"/>
      <c r="S8" s="100"/>
    </row>
    <row r="9" spans="1:19" x14ac:dyDescent="0.3">
      <c r="A9" s="153" t="s">
        <v>28</v>
      </c>
      <c r="B9" s="153"/>
      <c r="C9" s="153"/>
      <c r="E9" s="15" t="s">
        <v>34</v>
      </c>
      <c r="G9" s="23">
        <v>2</v>
      </c>
      <c r="H9" s="35">
        <f t="shared" ref="H9:H17" si="1">SLN($H$5,$H$4,$H$3)</f>
        <v>80000000</v>
      </c>
      <c r="I9" s="35">
        <f>I8+H9</f>
        <v>160000000</v>
      </c>
      <c r="J9" s="36">
        <f t="shared" si="0"/>
        <v>840000000</v>
      </c>
      <c r="L9" s="93"/>
      <c r="M9" s="95"/>
      <c r="N9" s="95"/>
      <c r="O9" s="100"/>
      <c r="P9" s="93"/>
      <c r="Q9" s="98"/>
      <c r="R9" s="98"/>
      <c r="S9" s="100"/>
    </row>
    <row r="10" spans="1:19" x14ac:dyDescent="0.3">
      <c r="A10" s="10"/>
      <c r="B10" s="10" t="s">
        <v>21</v>
      </c>
      <c r="C10" s="10" t="s">
        <v>22</v>
      </c>
      <c r="E10" s="16">
        <f>((1/2)*B15)</f>
        <v>50</v>
      </c>
      <c r="G10" s="23">
        <v>3</v>
      </c>
      <c r="H10" s="35">
        <f t="shared" si="1"/>
        <v>80000000</v>
      </c>
      <c r="I10" s="35">
        <f>I9+H10</f>
        <v>240000000</v>
      </c>
      <c r="J10" s="36">
        <f t="shared" si="0"/>
        <v>760000000</v>
      </c>
      <c r="L10" s="93"/>
      <c r="M10" s="95"/>
      <c r="N10" s="95"/>
      <c r="O10" s="100"/>
      <c r="P10" s="93"/>
      <c r="Q10" s="98"/>
      <c r="R10" s="98"/>
      <c r="S10" s="100"/>
    </row>
    <row r="11" spans="1:19" x14ac:dyDescent="0.3">
      <c r="A11" s="10" t="s">
        <v>24</v>
      </c>
      <c r="B11" s="10" t="s">
        <v>23</v>
      </c>
      <c r="C11" s="10" t="s">
        <v>26</v>
      </c>
      <c r="E11" s="1" t="s">
        <v>40</v>
      </c>
      <c r="G11" s="23">
        <v>4</v>
      </c>
      <c r="H11" s="35">
        <f t="shared" si="1"/>
        <v>80000000</v>
      </c>
      <c r="I11" s="35">
        <f t="shared" ref="I11:I17" si="2">I10+H11</f>
        <v>320000000</v>
      </c>
      <c r="J11" s="36">
        <f t="shared" si="0"/>
        <v>680000000</v>
      </c>
      <c r="L11" s="93"/>
      <c r="M11" s="95"/>
      <c r="N11" s="95"/>
      <c r="O11" s="100"/>
      <c r="P11" s="93"/>
      <c r="Q11" s="98"/>
      <c r="R11" s="98"/>
      <c r="S11" s="100"/>
    </row>
    <row r="12" spans="1:19" x14ac:dyDescent="0.3">
      <c r="A12" s="10" t="s">
        <v>18</v>
      </c>
      <c r="B12" s="10" t="s">
        <v>25</v>
      </c>
      <c r="C12" s="10" t="s">
        <v>27</v>
      </c>
      <c r="E12" s="24">
        <v>0.6</v>
      </c>
      <c r="G12" s="23">
        <v>5</v>
      </c>
      <c r="H12" s="35">
        <f t="shared" si="1"/>
        <v>80000000</v>
      </c>
      <c r="I12" s="35">
        <f t="shared" si="2"/>
        <v>400000000</v>
      </c>
      <c r="J12" s="36">
        <f t="shared" si="0"/>
        <v>600000000</v>
      </c>
      <c r="L12" s="93"/>
      <c r="M12" s="95"/>
      <c r="N12" s="95"/>
      <c r="O12" s="100"/>
      <c r="P12" s="93"/>
      <c r="Q12" s="98"/>
      <c r="R12" s="98"/>
      <c r="S12" s="100"/>
    </row>
    <row r="13" spans="1:19" x14ac:dyDescent="0.3">
      <c r="A13" s="7"/>
      <c r="B13" s="7"/>
      <c r="C13" s="7"/>
      <c r="E13" s="25">
        <f>E12*B20</f>
        <v>28.799999999999997</v>
      </c>
      <c r="G13" s="23">
        <v>6</v>
      </c>
      <c r="H13" s="35">
        <f t="shared" si="1"/>
        <v>80000000</v>
      </c>
      <c r="I13" s="35">
        <f t="shared" si="2"/>
        <v>480000000</v>
      </c>
      <c r="J13" s="36">
        <f t="shared" si="0"/>
        <v>520000000</v>
      </c>
      <c r="L13" s="93"/>
      <c r="M13" s="95"/>
      <c r="N13" s="95"/>
      <c r="O13" s="100"/>
      <c r="P13" s="93"/>
      <c r="Q13" s="98"/>
      <c r="R13" s="98"/>
      <c r="S13" s="100"/>
    </row>
    <row r="14" spans="1:19" x14ac:dyDescent="0.3">
      <c r="A14" s="154" t="s">
        <v>29</v>
      </c>
      <c r="B14" s="154"/>
      <c r="C14" s="154"/>
      <c r="G14" s="23">
        <v>7</v>
      </c>
      <c r="H14" s="35">
        <f t="shared" si="1"/>
        <v>80000000</v>
      </c>
      <c r="I14" s="35">
        <f t="shared" si="2"/>
        <v>560000000</v>
      </c>
      <c r="J14" s="36">
        <f t="shared" si="0"/>
        <v>440000000</v>
      </c>
      <c r="L14" s="93"/>
      <c r="M14" s="95"/>
      <c r="N14" s="96"/>
      <c r="O14" s="100"/>
      <c r="P14" s="93"/>
      <c r="Q14" s="98"/>
      <c r="R14" s="98"/>
      <c r="S14" s="100"/>
    </row>
    <row r="15" spans="1:19" x14ac:dyDescent="0.3">
      <c r="A15" s="11" t="s">
        <v>30</v>
      </c>
      <c r="B15" s="14">
        <v>100</v>
      </c>
      <c r="C15" s="7"/>
      <c r="G15" s="23">
        <v>8</v>
      </c>
      <c r="H15" s="35">
        <f t="shared" si="1"/>
        <v>80000000</v>
      </c>
      <c r="I15" s="35">
        <f t="shared" si="2"/>
        <v>640000000</v>
      </c>
      <c r="J15" s="36">
        <f t="shared" si="0"/>
        <v>360000000</v>
      </c>
      <c r="L15" s="93"/>
      <c r="M15" s="93"/>
      <c r="N15" s="93"/>
      <c r="O15" s="100"/>
      <c r="P15" s="93"/>
      <c r="Q15" s="99"/>
      <c r="R15" s="98"/>
      <c r="S15" s="100"/>
    </row>
    <row r="16" spans="1:19" x14ac:dyDescent="0.3">
      <c r="A16" s="12" t="s">
        <v>31</v>
      </c>
      <c r="B16" s="12" t="s">
        <v>32</v>
      </c>
      <c r="C16" s="7"/>
      <c r="G16" s="23">
        <v>9</v>
      </c>
      <c r="H16" s="35">
        <f t="shared" si="1"/>
        <v>80000000</v>
      </c>
      <c r="I16" s="35">
        <f t="shared" si="2"/>
        <v>720000000</v>
      </c>
      <c r="J16" s="36">
        <f t="shared" si="0"/>
        <v>280000000</v>
      </c>
      <c r="L16" s="93"/>
      <c r="M16" s="93"/>
      <c r="N16" s="97"/>
      <c r="O16" s="100"/>
      <c r="P16" s="93"/>
      <c r="Q16" s="93"/>
      <c r="R16" s="93"/>
      <c r="S16" s="100"/>
    </row>
    <row r="17" spans="1:19" x14ac:dyDescent="0.3">
      <c r="A17" s="7"/>
      <c r="B17" s="7"/>
      <c r="C17" s="7"/>
      <c r="G17" s="23">
        <v>10</v>
      </c>
      <c r="H17" s="35">
        <f t="shared" si="1"/>
        <v>80000000</v>
      </c>
      <c r="I17" s="35">
        <f t="shared" si="2"/>
        <v>800000000</v>
      </c>
      <c r="J17" s="38">
        <f t="shared" si="0"/>
        <v>200000000</v>
      </c>
      <c r="L17" s="93"/>
      <c r="M17" s="93"/>
      <c r="N17" s="93"/>
      <c r="O17" s="100"/>
      <c r="P17" s="93"/>
      <c r="Q17" s="93"/>
      <c r="R17" s="101"/>
      <c r="S17" s="100"/>
    </row>
    <row r="18" spans="1:19" x14ac:dyDescent="0.3">
      <c r="A18" s="13"/>
      <c r="B18" s="13" t="s">
        <v>33</v>
      </c>
      <c r="C18" s="7"/>
      <c r="L18" s="100"/>
      <c r="M18" s="100"/>
      <c r="N18" s="100"/>
      <c r="O18" s="100"/>
      <c r="P18" s="93"/>
      <c r="Q18" s="93"/>
      <c r="R18" s="93"/>
      <c r="S18" s="100"/>
    </row>
    <row r="19" spans="1:19" x14ac:dyDescent="0.3">
      <c r="A19" s="13" t="s">
        <v>42</v>
      </c>
      <c r="B19" s="22">
        <v>36</v>
      </c>
      <c r="C19" s="7"/>
    </row>
    <row r="20" spans="1:19" x14ac:dyDescent="0.3">
      <c r="A20" s="13" t="s">
        <v>41</v>
      </c>
      <c r="B20" s="22">
        <v>48</v>
      </c>
      <c r="C20" s="7"/>
    </row>
    <row r="21" spans="1:19" x14ac:dyDescent="0.3">
      <c r="A21" s="12" t="s">
        <v>31</v>
      </c>
      <c r="B21" s="12" t="s">
        <v>32</v>
      </c>
      <c r="C21" s="7"/>
    </row>
    <row r="23" spans="1:19" x14ac:dyDescent="0.3">
      <c r="A23" s="5" t="s">
        <v>43</v>
      </c>
      <c r="B23" s="6" t="s">
        <v>44</v>
      </c>
    </row>
    <row r="24" spans="1:19" x14ac:dyDescent="0.3">
      <c r="A24" s="5" t="s">
        <v>45</v>
      </c>
      <c r="B24" s="6" t="s">
        <v>32</v>
      </c>
      <c r="C24" s="70">
        <v>1.4999999999999999E-2</v>
      </c>
    </row>
    <row r="25" spans="1:19" x14ac:dyDescent="0.3">
      <c r="A25" s="5" t="s">
        <v>64</v>
      </c>
      <c r="B25" s="70">
        <v>0.65</v>
      </c>
    </row>
    <row r="26" spans="1:19" x14ac:dyDescent="0.3">
      <c r="A26" s="5" t="s">
        <v>65</v>
      </c>
      <c r="B26" s="71">
        <f>30000000*(1/B25)</f>
        <v>46153846.153846152</v>
      </c>
    </row>
    <row r="27" spans="1:19" x14ac:dyDescent="0.3">
      <c r="A27" s="5" t="s">
        <v>66</v>
      </c>
      <c r="B27" s="6">
        <f>B26/1000000</f>
        <v>46.153846153846153</v>
      </c>
    </row>
    <row r="29" spans="1:19" x14ac:dyDescent="0.3">
      <c r="A29" s="23" t="s">
        <v>52</v>
      </c>
      <c r="B29" s="23" t="s">
        <v>67</v>
      </c>
    </row>
    <row r="30" spans="1:19" x14ac:dyDescent="0.3">
      <c r="A30" s="1">
        <v>0</v>
      </c>
      <c r="B30" s="25">
        <v>600000000</v>
      </c>
    </row>
    <row r="31" spans="1:19" x14ac:dyDescent="0.3">
      <c r="A31" s="1">
        <v>1</v>
      </c>
      <c r="B31" s="25">
        <f>((1+$C$24)^A31)*$B$30</f>
        <v>609000000</v>
      </c>
    </row>
    <row r="32" spans="1:19" x14ac:dyDescent="0.3">
      <c r="A32" s="1">
        <v>2</v>
      </c>
      <c r="B32" s="25">
        <f t="shared" ref="B32:B40" si="3">((1+$C$24)^A32)*$B$30</f>
        <v>618134999.99999988</v>
      </c>
    </row>
    <row r="33" spans="1:2" x14ac:dyDescent="0.3">
      <c r="A33" s="1">
        <v>3</v>
      </c>
      <c r="B33" s="25">
        <f t="shared" si="3"/>
        <v>627407024.99999976</v>
      </c>
    </row>
    <row r="34" spans="1:2" x14ac:dyDescent="0.3">
      <c r="A34" s="1">
        <v>4</v>
      </c>
      <c r="B34" s="25">
        <f t="shared" si="3"/>
        <v>636818130.37499964</v>
      </c>
    </row>
    <row r="35" spans="1:2" x14ac:dyDescent="0.3">
      <c r="A35" s="1">
        <v>5</v>
      </c>
      <c r="B35" s="25">
        <f t="shared" si="3"/>
        <v>646370402.33062458</v>
      </c>
    </row>
    <row r="36" spans="1:2" x14ac:dyDescent="0.3">
      <c r="A36" s="1">
        <v>6</v>
      </c>
      <c r="B36" s="25">
        <f t="shared" si="3"/>
        <v>656065958.36558378</v>
      </c>
    </row>
    <row r="37" spans="1:2" x14ac:dyDescent="0.3">
      <c r="A37" s="1">
        <v>7</v>
      </c>
      <c r="B37" s="25">
        <f t="shared" si="3"/>
        <v>665906947.74106741</v>
      </c>
    </row>
    <row r="38" spans="1:2" x14ac:dyDescent="0.3">
      <c r="A38" s="1">
        <v>8</v>
      </c>
      <c r="B38" s="25">
        <f t="shared" si="3"/>
        <v>675895551.95718348</v>
      </c>
    </row>
    <row r="39" spans="1:2" x14ac:dyDescent="0.3">
      <c r="A39" s="1">
        <v>9</v>
      </c>
      <c r="B39" s="25">
        <f t="shared" si="3"/>
        <v>686033985.23654103</v>
      </c>
    </row>
    <row r="40" spans="1:2" x14ac:dyDescent="0.3">
      <c r="A40" s="1">
        <v>10</v>
      </c>
      <c r="B40" s="25">
        <f t="shared" si="3"/>
        <v>696324495.01508915</v>
      </c>
    </row>
  </sheetData>
  <mergeCells count="3">
    <mergeCell ref="A9:C9"/>
    <mergeCell ref="A14:C14"/>
    <mergeCell ref="A5:C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16" sqref="A16"/>
    </sheetView>
  </sheetViews>
  <sheetFormatPr defaultRowHeight="15" x14ac:dyDescent="0.25"/>
  <cols>
    <col min="1" max="1" width="27.140625" bestFit="1" customWidth="1"/>
    <col min="2" max="2" width="17.5703125" bestFit="1" customWidth="1"/>
    <col min="4" max="4" width="11.7109375" bestFit="1" customWidth="1"/>
    <col min="5" max="5" width="11" bestFit="1" customWidth="1"/>
  </cols>
  <sheetData>
    <row r="1" spans="1:5" ht="15.75" thickBot="1" x14ac:dyDescent="0.3">
      <c r="A1" s="102" t="s">
        <v>76</v>
      </c>
    </row>
    <row r="3" spans="1:5" x14ac:dyDescent="0.25">
      <c r="A3" s="49" t="s">
        <v>77</v>
      </c>
      <c r="B3" s="84">
        <v>87.5</v>
      </c>
      <c r="D3" s="46" t="s">
        <v>81</v>
      </c>
      <c r="E3" s="46">
        <v>2432000000</v>
      </c>
    </row>
    <row r="4" spans="1:5" x14ac:dyDescent="0.25">
      <c r="A4" s="49" t="s">
        <v>78</v>
      </c>
      <c r="B4" s="85">
        <v>251430000</v>
      </c>
      <c r="D4" s="46" t="s">
        <v>82</v>
      </c>
      <c r="E4" s="46">
        <f>E3/1000000000</f>
        <v>2.4319999999999999</v>
      </c>
    </row>
    <row r="5" spans="1:5" x14ac:dyDescent="0.25">
      <c r="A5" s="49" t="s">
        <v>79</v>
      </c>
      <c r="B5" s="49">
        <f>B4/1000000</f>
        <v>251.43</v>
      </c>
    </row>
    <row r="7" spans="1:5" x14ac:dyDescent="0.25">
      <c r="A7" s="48" t="s">
        <v>80</v>
      </c>
      <c r="B7" s="83">
        <f>B4*B3</f>
        <v>22000125000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C9" sqref="C9"/>
    </sheetView>
  </sheetViews>
  <sheetFormatPr defaultColWidth="14.42578125" defaultRowHeight="15" x14ac:dyDescent="0.25"/>
  <cols>
    <col min="1" max="1" width="7.28515625" style="121" bestFit="1" customWidth="1"/>
    <col min="2" max="2" width="17.5703125" style="121" bestFit="1" customWidth="1"/>
    <col min="3" max="3" width="16.42578125" style="121" bestFit="1" customWidth="1"/>
    <col min="4" max="4" width="17.5703125" style="121" bestFit="1" customWidth="1"/>
    <col min="5" max="6" width="8.7109375" style="121" customWidth="1"/>
    <col min="7" max="7" width="25.140625" style="121" customWidth="1"/>
    <col min="8" max="26" width="8.7109375" style="121" customWidth="1"/>
    <col min="27" max="16384" width="14.42578125" style="121"/>
  </cols>
  <sheetData>
    <row r="1" spans="1:7" x14ac:dyDescent="0.25">
      <c r="A1" s="120"/>
      <c r="B1" s="120" t="s">
        <v>70</v>
      </c>
      <c r="C1" s="120" t="s">
        <v>92</v>
      </c>
      <c r="D1" s="120" t="s">
        <v>103</v>
      </c>
    </row>
    <row r="2" spans="1:7" x14ac:dyDescent="0.25">
      <c r="A2" s="122" t="s">
        <v>94</v>
      </c>
      <c r="B2" s="122">
        <f>'Pricing and Unit Costs'!E22+'New Participants in Alternium'!G15+'Side Benefits'!C6</f>
        <v>7780000000</v>
      </c>
      <c r="C2" s="122">
        <f>$B$13*B2</f>
        <v>778000000</v>
      </c>
      <c r="D2" s="122">
        <f>B2-C2</f>
        <v>7002000000</v>
      </c>
      <c r="G2" s="123"/>
    </row>
    <row r="3" spans="1:7" x14ac:dyDescent="0.25">
      <c r="A3" s="122" t="s">
        <v>95</v>
      </c>
      <c r="B3" s="122">
        <f>'Pricing and Unit Costs'!E23+'New Participants in Alternium'!G16+'Side Benefits'!C7</f>
        <v>8329950000</v>
      </c>
      <c r="C3" s="122">
        <f t="shared" ref="C3:C10" si="0">$B$13*B3</f>
        <v>832995000</v>
      </c>
      <c r="D3" s="122">
        <f>B3-C3</f>
        <v>7496955000</v>
      </c>
    </row>
    <row r="4" spans="1:7" x14ac:dyDescent="0.25">
      <c r="A4" s="122" t="s">
        <v>96</v>
      </c>
      <c r="B4" s="122">
        <f>'Pricing and Unit Costs'!E24+'New Participants in Alternium'!G17+'Side Benefits'!C8</f>
        <v>8923490610</v>
      </c>
      <c r="C4" s="122">
        <f t="shared" si="0"/>
        <v>892349061</v>
      </c>
      <c r="D4" s="122">
        <f t="shared" ref="D4:D10" si="1">B4-C4</f>
        <v>8031141549</v>
      </c>
    </row>
    <row r="5" spans="1:7" x14ac:dyDescent="0.25">
      <c r="A5" s="122" t="s">
        <v>97</v>
      </c>
      <c r="B5" s="122">
        <f>'Pricing and Unit Costs'!E25+'New Participants in Alternium'!G18+'Side Benefits'!C9</f>
        <v>9564407709.2820034</v>
      </c>
      <c r="C5" s="122">
        <f t="shared" si="0"/>
        <v>956440770.92820036</v>
      </c>
      <c r="D5" s="122">
        <f t="shared" si="1"/>
        <v>8607966938.3538036</v>
      </c>
    </row>
    <row r="6" spans="1:7" x14ac:dyDescent="0.25">
      <c r="A6" s="122" t="s">
        <v>98</v>
      </c>
      <c r="B6" s="122">
        <f>'Pricing and Unit Costs'!E26+'New Participants in Alternium'!G19+'Side Benefits'!C10</f>
        <v>10256836737.59293</v>
      </c>
      <c r="C6" s="122">
        <f t="shared" si="0"/>
        <v>1025683673.7592931</v>
      </c>
      <c r="D6" s="122">
        <f t="shared" si="1"/>
        <v>9231153063.8336372</v>
      </c>
    </row>
    <row r="7" spans="1:7" x14ac:dyDescent="0.25">
      <c r="A7" s="122" t="s">
        <v>99</v>
      </c>
      <c r="B7" s="122">
        <f>'Pricing and Unit Costs'!E27+'New Participants in Alternium'!G20+'Side Benefits'!C11</f>
        <v>11005296161.877712</v>
      </c>
      <c r="C7" s="122">
        <f t="shared" si="0"/>
        <v>1100529616.1877713</v>
      </c>
      <c r="D7" s="122">
        <f t="shared" si="1"/>
        <v>9904766545.6899414</v>
      </c>
    </row>
    <row r="8" spans="1:7" x14ac:dyDescent="0.25">
      <c r="A8" s="122" t="s">
        <v>100</v>
      </c>
      <c r="B8" s="122">
        <f>'Pricing and Unit Costs'!E28+'New Participants in Alternium'!G21+'Side Benefits'!C12</f>
        <v>11814724211.495037</v>
      </c>
      <c r="C8" s="122">
        <f t="shared" si="0"/>
        <v>1181472421.1495037</v>
      </c>
      <c r="D8" s="122">
        <f t="shared" si="1"/>
        <v>10633251790.345533</v>
      </c>
    </row>
    <row r="9" spans="1:7" x14ac:dyDescent="0.25">
      <c r="A9" s="122" t="s">
        <v>101</v>
      </c>
      <c r="B9" s="122">
        <f>'Pricing and Unit Costs'!E29+'New Participants in Alternium'!G22+'Side Benefits'!C13</f>
        <v>12690519204.494015</v>
      </c>
      <c r="C9" s="122">
        <f t="shared" si="0"/>
        <v>1269051920.4494016</v>
      </c>
      <c r="D9" s="122">
        <f t="shared" si="1"/>
        <v>11421467284.044613</v>
      </c>
    </row>
    <row r="10" spans="1:7" x14ac:dyDescent="0.25">
      <c r="A10" s="122" t="s">
        <v>102</v>
      </c>
      <c r="B10" s="122">
        <f>'Pricing and Unit Costs'!E30+'New Participants in Alternium'!G23+'Side Benefits'!C14</f>
        <v>13638583819.539371</v>
      </c>
      <c r="C10" s="122">
        <f t="shared" si="0"/>
        <v>1363858381.9539373</v>
      </c>
      <c r="D10" s="122">
        <f t="shared" si="1"/>
        <v>12274725437.585434</v>
      </c>
    </row>
    <row r="11" spans="1:7" x14ac:dyDescent="0.25">
      <c r="A11" s="122"/>
      <c r="B11" s="122">
        <f>'Pricing and Unit Costs'!E31+'New Participants in Alternium'!G24+'Side Benefits'!C15</f>
        <v>14665373703.267677</v>
      </c>
      <c r="C11" s="122">
        <f>$B$13*B11</f>
        <v>1466537370.3267679</v>
      </c>
      <c r="D11" s="122">
        <f>B11-C11</f>
        <v>13198836332.94091</v>
      </c>
    </row>
    <row r="12" spans="1:7" x14ac:dyDescent="0.25">
      <c r="D12" s="122"/>
    </row>
    <row r="13" spans="1:7" ht="15" customHeight="1" x14ac:dyDescent="0.25">
      <c r="A13" s="121" t="s">
        <v>104</v>
      </c>
      <c r="B13" s="124">
        <v>0.1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B11" sqref="B11"/>
    </sheetView>
  </sheetViews>
  <sheetFormatPr defaultRowHeight="15" x14ac:dyDescent="0.25"/>
  <cols>
    <col min="2" max="2" width="17.28515625" bestFit="1" customWidth="1"/>
  </cols>
  <sheetData>
    <row r="1" spans="1:3" x14ac:dyDescent="0.25">
      <c r="A1" s="48" t="s">
        <v>55</v>
      </c>
      <c r="B1" s="48" t="s">
        <v>106</v>
      </c>
      <c r="C1" s="48" t="s">
        <v>12</v>
      </c>
    </row>
    <row r="2" spans="1:3" x14ac:dyDescent="0.25">
      <c r="A2" s="39">
        <v>0</v>
      </c>
      <c r="B2" s="126">
        <f>'Advertising Expenses'!E3+'G&amp;A Expenses'!K7+'Introductory Costs'!H8</f>
        <v>1020000000</v>
      </c>
      <c r="C2" s="39">
        <v>1</v>
      </c>
    </row>
    <row r="3" spans="1:3" x14ac:dyDescent="0.25">
      <c r="A3" s="39">
        <v>1</v>
      </c>
      <c r="B3" s="126">
        <f>'Advertising Expenses'!E4+'G&amp;A Expenses'!K8+'Introductory Costs'!H9</f>
        <v>1147750000</v>
      </c>
      <c r="C3" s="39">
        <v>2</v>
      </c>
    </row>
    <row r="4" spans="1:3" x14ac:dyDescent="0.25">
      <c r="A4" s="39">
        <v>2</v>
      </c>
      <c r="B4" s="126">
        <f>'Advertising Expenses'!E5+'G&amp;A Expenses'!K9+'Introductory Costs'!H10</f>
        <v>1298428125</v>
      </c>
      <c r="C4" s="39">
        <v>3</v>
      </c>
    </row>
    <row r="5" spans="1:3" x14ac:dyDescent="0.25">
      <c r="A5" s="39">
        <v>3</v>
      </c>
      <c r="B5" s="126">
        <f>'Advertising Expenses'!E6+'G&amp;A Expenses'!K10+'Introductory Costs'!H11</f>
        <v>1476591460.9375</v>
      </c>
      <c r="C5" s="39">
        <v>4</v>
      </c>
    </row>
    <row r="6" spans="1:3" x14ac:dyDescent="0.25">
      <c r="A6" s="39">
        <v>4</v>
      </c>
      <c r="B6" s="126">
        <f>'Advertising Expenses'!E7+'G&amp;A Expenses'!K11+'Introductory Costs'!H12</f>
        <v>1687730514.0820308</v>
      </c>
      <c r="C6" s="39">
        <v>5</v>
      </c>
    </row>
    <row r="7" spans="1:3" x14ac:dyDescent="0.25">
      <c r="A7" s="39">
        <v>5</v>
      </c>
      <c r="B7" s="126">
        <f>'Advertising Expenses'!E8+'G&amp;A Expenses'!K12+'Introductory Costs'!H13</f>
        <v>1938462072.0040526</v>
      </c>
      <c r="C7" s="39">
        <v>6</v>
      </c>
    </row>
    <row r="8" spans="1:3" x14ac:dyDescent="0.25">
      <c r="A8" s="39">
        <v>6</v>
      </c>
      <c r="B8" s="126">
        <f>'Advertising Expenses'!E9+'G&amp;A Expenses'!K13+'Introductory Costs'!H14</f>
        <v>2236762020.5073929</v>
      </c>
      <c r="C8" s="39">
        <v>7</v>
      </c>
    </row>
    <row r="9" spans="1:3" x14ac:dyDescent="0.25">
      <c r="A9" s="39">
        <v>7</v>
      </c>
      <c r="B9" s="126">
        <f>'Advertising Expenses'!E10+'G&amp;A Expenses'!K14+'Introductory Costs'!H15</f>
        <v>2592246402.103302</v>
      </c>
      <c r="C9" s="39">
        <v>8</v>
      </c>
    </row>
    <row r="10" spans="1:3" x14ac:dyDescent="0.25">
      <c r="A10" s="39">
        <v>8</v>
      </c>
      <c r="B10" s="126">
        <f>'Advertising Expenses'!E11+'G&amp;A Expenses'!K15+'Introductory Costs'!H16</f>
        <v>3016510720.3823929</v>
      </c>
      <c r="C10" s="39">
        <v>9</v>
      </c>
    </row>
    <row r="11" spans="1:3" x14ac:dyDescent="0.25">
      <c r="A11" s="39">
        <v>9</v>
      </c>
      <c r="B11" s="126">
        <f>'Advertising Expenses'!E12+'G&amp;A Expenses'!K16+'Introductory Costs'!H17</f>
        <v>3523539570.0200286</v>
      </c>
      <c r="C11" s="39">
        <v>10</v>
      </c>
    </row>
    <row r="12" spans="1:3" x14ac:dyDescent="0.25">
      <c r="B12" s="125"/>
    </row>
    <row r="13" spans="1:3" x14ac:dyDescent="0.25">
      <c r="B13" s="125"/>
    </row>
    <row r="14" spans="1:3" x14ac:dyDescent="0.25">
      <c r="B14" s="12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>
      <selection activeCell="E17" sqref="E17"/>
    </sheetView>
  </sheetViews>
  <sheetFormatPr defaultRowHeight="15" x14ac:dyDescent="0.25"/>
  <cols>
    <col min="2" max="2" width="21.140625" style="131" customWidth="1"/>
    <col min="3" max="3" width="18.7109375" style="133" customWidth="1"/>
    <col min="4" max="4" width="23" customWidth="1"/>
    <col min="5" max="5" width="22.42578125" customWidth="1"/>
    <col min="6" max="6" width="18.85546875" customWidth="1"/>
    <col min="7" max="7" width="22" customWidth="1"/>
  </cols>
  <sheetData>
    <row r="1" spans="1:7" x14ac:dyDescent="0.25">
      <c r="A1" s="144" t="s">
        <v>52</v>
      </c>
      <c r="B1" s="129" t="s">
        <v>103</v>
      </c>
      <c r="C1" s="132" t="s">
        <v>106</v>
      </c>
      <c r="D1" s="135" t="s">
        <v>111</v>
      </c>
      <c r="E1" s="39" t="s">
        <v>112</v>
      </c>
      <c r="F1" s="47" t="s">
        <v>83</v>
      </c>
    </row>
    <row r="2" spans="1:7" x14ac:dyDescent="0.25">
      <c r="A2" s="144">
        <v>0</v>
      </c>
      <c r="B2" s="130">
        <v>7002000000</v>
      </c>
      <c r="C2" s="134">
        <f>'Advertising Expenses'!F3+'G&amp;A Expenses'!L7+'Introductory Costs'!I8</f>
        <v>80000000</v>
      </c>
      <c r="D2" s="136">
        <f>B2-C2</f>
        <v>6922000000</v>
      </c>
      <c r="E2" s="57">
        <f>((1/1+$C$14)^A2)*D2</f>
        <v>6922000000</v>
      </c>
      <c r="F2" s="103">
        <v>600000000</v>
      </c>
      <c r="G2" s="131"/>
    </row>
    <row r="3" spans="1:7" x14ac:dyDescent="0.25">
      <c r="A3" s="144">
        <v>1</v>
      </c>
      <c r="B3" s="130">
        <v>7496955000</v>
      </c>
      <c r="C3" s="134">
        <f>'Advertising Expenses'!F4+'G&amp;A Expenses'!L8+'Introductory Costs'!I9</f>
        <v>184000000</v>
      </c>
      <c r="D3" s="136">
        <f>B3-C3</f>
        <v>7312955000</v>
      </c>
      <c r="E3" s="57">
        <f>((1/1+$C$14)^A3)*D3</f>
        <v>8117380050.000001</v>
      </c>
      <c r="F3" s="103">
        <v>609000000</v>
      </c>
      <c r="G3" s="131"/>
    </row>
    <row r="4" spans="1:7" x14ac:dyDescent="0.25">
      <c r="A4" s="144">
        <v>2</v>
      </c>
      <c r="B4" s="130">
        <v>8031141549</v>
      </c>
      <c r="C4" s="134">
        <f>'Advertising Expenses'!F5+'G&amp;A Expenses'!L9+'Introductory Costs'!I10</f>
        <v>265400000</v>
      </c>
      <c r="D4" s="136">
        <f t="shared" ref="D4:D10" si="0">B4-C4</f>
        <v>7765741549</v>
      </c>
      <c r="E4" s="57">
        <f t="shared" ref="E4:E11" si="1">((1/1+$C$14)^A4)*D4</f>
        <v>9568170162.5229015</v>
      </c>
      <c r="F4" s="103">
        <v>618134999.99999988</v>
      </c>
      <c r="G4" s="131"/>
    </row>
    <row r="5" spans="1:7" x14ac:dyDescent="0.25">
      <c r="A5" s="144">
        <v>3</v>
      </c>
      <c r="B5" s="130">
        <v>8607966938.3538036</v>
      </c>
      <c r="C5" s="134">
        <f>'Advertising Expenses'!F6+'G&amp;A Expenses'!L10+'Introductory Costs'!I11</f>
        <v>346890000.00000006</v>
      </c>
      <c r="D5" s="136">
        <f t="shared" si="0"/>
        <v>8261076938.3538036</v>
      </c>
      <c r="E5" s="57">
        <f t="shared" si="1"/>
        <v>11298104914.277754</v>
      </c>
      <c r="F5" s="103">
        <v>627407024.99999976</v>
      </c>
      <c r="G5" s="131"/>
    </row>
    <row r="6" spans="1:7" x14ac:dyDescent="0.25">
      <c r="A6" s="144">
        <v>4</v>
      </c>
      <c r="B6" s="130">
        <v>9231153063.8336372</v>
      </c>
      <c r="C6" s="134">
        <f>'Advertising Expenses'!F7+'G&amp;A Expenses'!L11+'Introductory Costs'!I12</f>
        <v>428476499.99999994</v>
      </c>
      <c r="D6" s="136">
        <f t="shared" si="0"/>
        <v>8802676563.8336372</v>
      </c>
      <c r="E6" s="57">
        <f t="shared" si="1"/>
        <v>13363082820.356325</v>
      </c>
      <c r="F6" s="103">
        <v>636818130.37499964</v>
      </c>
      <c r="G6" s="131"/>
    </row>
    <row r="7" spans="1:7" x14ac:dyDescent="0.25">
      <c r="A7" s="144">
        <v>5</v>
      </c>
      <c r="B7" s="130">
        <v>9904766545.6899414</v>
      </c>
      <c r="C7" s="134">
        <f>'Advertising Expenses'!F8+'G&amp;A Expenses'!L12+'Introductory Costs'!I13</f>
        <v>510166525.00000006</v>
      </c>
      <c r="D7" s="136">
        <f t="shared" si="0"/>
        <v>9394600020.6899414</v>
      </c>
      <c r="E7" s="57">
        <f t="shared" si="1"/>
        <v>15830447378.76622</v>
      </c>
      <c r="F7" s="103">
        <v>646370402.33062458</v>
      </c>
      <c r="G7" s="131"/>
    </row>
    <row r="8" spans="1:7" x14ac:dyDescent="0.25">
      <c r="A8" s="144">
        <v>6</v>
      </c>
      <c r="B8" s="130">
        <v>10633251790.345533</v>
      </c>
      <c r="C8" s="134">
        <f>'Advertising Expenses'!F9+'G&amp;A Expenses'!L13+'Introductory Costs'!I14</f>
        <v>591967671.25</v>
      </c>
      <c r="D8" s="136">
        <f t="shared" si="0"/>
        <v>10041284119.095533</v>
      </c>
      <c r="E8" s="57">
        <f t="shared" si="1"/>
        <v>18781363938.739441</v>
      </c>
      <c r="F8" s="103">
        <v>656065958.36558378</v>
      </c>
      <c r="G8" s="131"/>
    </row>
    <row r="9" spans="1:7" x14ac:dyDescent="0.25">
      <c r="A9" s="144">
        <v>7</v>
      </c>
      <c r="B9" s="130">
        <v>11421467284.044613</v>
      </c>
      <c r="C9" s="134">
        <f>'Advertising Expenses'!F10+'G&amp;A Expenses'!L14+'Introductory Costs'!I15</f>
        <v>673888156.81250012</v>
      </c>
      <c r="D9" s="136">
        <f t="shared" si="0"/>
        <v>10747579127.232113</v>
      </c>
      <c r="E9" s="57">
        <f t="shared" si="1"/>
        <v>22313695524.085217</v>
      </c>
      <c r="F9" s="103">
        <v>665906947.74106741</v>
      </c>
      <c r="G9" s="131"/>
    </row>
    <row r="10" spans="1:7" x14ac:dyDescent="0.25">
      <c r="A10" s="144">
        <v>8</v>
      </c>
      <c r="B10" s="130">
        <v>12274725437.585434</v>
      </c>
      <c r="C10" s="134">
        <f>'Advertising Expenses'!F11+'G&amp;A Expenses'!L15+'Introductory Costs'!I16</f>
        <v>755936876.85312486</v>
      </c>
      <c r="D10" s="136">
        <f t="shared" si="0"/>
        <v>11518788560.732309</v>
      </c>
      <c r="E10" s="57">
        <f t="shared" si="1"/>
        <v>26545483299.598289</v>
      </c>
      <c r="F10" s="103">
        <v>675895551.95718348</v>
      </c>
      <c r="G10" s="131"/>
    </row>
    <row r="11" spans="1:7" x14ac:dyDescent="0.25">
      <c r="A11" s="144">
        <v>9</v>
      </c>
      <c r="B11" s="122">
        <f>'Pricing and Unit Costs'!E31+'New Participants in Alternium'!G24+'Side Benefits'!C15</f>
        <v>14665373703.267677</v>
      </c>
      <c r="C11" s="126">
        <f>'Advertising Expenses'!F12+'G&amp;A Expenses'!L16+'Introductory Costs'!I17</f>
        <v>838123464.11578131</v>
      </c>
      <c r="D11" s="136">
        <f>B11-C11</f>
        <v>13827250239.151896</v>
      </c>
      <c r="E11" s="57">
        <f t="shared" si="1"/>
        <v>35370616674.482643</v>
      </c>
      <c r="F11" s="103">
        <v>686033985.23654103</v>
      </c>
      <c r="G11" s="131"/>
    </row>
    <row r="12" spans="1:7" x14ac:dyDescent="0.25">
      <c r="F12" s="137">
        <f>SUM(F2:F11)</f>
        <v>6421633001.0059996</v>
      </c>
    </row>
    <row r="14" spans="1:7" x14ac:dyDescent="0.25">
      <c r="B14" s="142" t="s">
        <v>113</v>
      </c>
      <c r="C14" s="143">
        <v>0.11</v>
      </c>
      <c r="D14" s="48" t="s">
        <v>114</v>
      </c>
      <c r="E14" s="140">
        <f>-(F12)-150000000</f>
        <v>-6571633001.0059996</v>
      </c>
      <c r="G14" s="137"/>
    </row>
    <row r="15" spans="1:7" x14ac:dyDescent="0.25">
      <c r="D15" s="48" t="s">
        <v>115</v>
      </c>
      <c r="E15" s="141">
        <f>SUM(D2:D10)</f>
        <v>80766701878.937347</v>
      </c>
      <c r="G15" s="137"/>
    </row>
    <row r="16" spans="1:7" x14ac:dyDescent="0.25">
      <c r="D16" s="48" t="s">
        <v>116</v>
      </c>
      <c r="E16" s="140">
        <f>SUM(E14:E15)</f>
        <v>74195068877.931351</v>
      </c>
      <c r="G16" s="137"/>
    </row>
    <row r="17" spans="3:7" x14ac:dyDescent="0.25">
      <c r="C17" s="138" t="s">
        <v>117</v>
      </c>
      <c r="G17" s="137"/>
    </row>
    <row r="18" spans="3:7" x14ac:dyDescent="0.25">
      <c r="C18" s="139">
        <f>IRR(E14:E15)</f>
        <v>11.290202734476097</v>
      </c>
      <c r="G18" s="137"/>
    </row>
    <row r="19" spans="3:7" x14ac:dyDescent="0.25">
      <c r="G19" s="137"/>
    </row>
    <row r="20" spans="3:7" x14ac:dyDescent="0.25">
      <c r="G20" s="137"/>
    </row>
    <row r="21" spans="3:7" x14ac:dyDescent="0.25">
      <c r="G21" s="137"/>
    </row>
    <row r="22" spans="3:7" x14ac:dyDescent="0.25">
      <c r="G22" s="137"/>
    </row>
    <row r="23" spans="3:7" x14ac:dyDescent="0.25">
      <c r="E23" s="127"/>
      <c r="G23" s="137"/>
    </row>
    <row r="24" spans="3:7" x14ac:dyDescent="0.25">
      <c r="G24" s="13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E22" sqref="E22"/>
    </sheetView>
  </sheetViews>
  <sheetFormatPr defaultColWidth="17.7109375" defaultRowHeight="15" x14ac:dyDescent="0.25"/>
  <cols>
    <col min="1" max="1" width="4.85546875" bestFit="1" customWidth="1"/>
    <col min="2" max="2" width="17.5703125" bestFit="1" customWidth="1"/>
    <col min="3" max="4" width="15.42578125" bestFit="1" customWidth="1"/>
    <col min="5" max="5" width="20.7109375" bestFit="1" customWidth="1"/>
    <col min="6" max="6" width="21.140625" bestFit="1" customWidth="1"/>
    <col min="7" max="7" width="25" bestFit="1" customWidth="1"/>
    <col min="9" max="9" width="27.5703125" bestFit="1" customWidth="1"/>
    <col min="10" max="10" width="6.140625" bestFit="1" customWidth="1"/>
  </cols>
  <sheetData>
    <row r="1" spans="1:10" x14ac:dyDescent="0.25">
      <c r="A1" s="145" t="s">
        <v>12</v>
      </c>
      <c r="B1" s="145" t="s">
        <v>103</v>
      </c>
      <c r="C1" s="145" t="s">
        <v>118</v>
      </c>
      <c r="D1" s="145" t="s">
        <v>116</v>
      </c>
      <c r="E1" s="145" t="s">
        <v>119</v>
      </c>
      <c r="F1" s="145" t="s">
        <v>120</v>
      </c>
      <c r="G1" s="145" t="s">
        <v>121</v>
      </c>
    </row>
    <row r="2" spans="1:10" x14ac:dyDescent="0.25">
      <c r="A2" s="145">
        <v>1</v>
      </c>
      <c r="B2" s="146">
        <v>4119210000</v>
      </c>
      <c r="C2" s="146">
        <f>2608899000+150000000</f>
        <v>2758899000</v>
      </c>
      <c r="D2" s="146">
        <f t="shared" ref="D2:D16" si="0">B2-C2</f>
        <v>1360311000</v>
      </c>
      <c r="E2" s="147"/>
      <c r="F2" s="147"/>
      <c r="G2" s="147"/>
    </row>
    <row r="3" spans="1:10" x14ac:dyDescent="0.25">
      <c r="A3" s="145">
        <v>2</v>
      </c>
      <c r="B3" s="146">
        <v>4464780442.1999989</v>
      </c>
      <c r="C3" s="146">
        <v>2642119603.1799998</v>
      </c>
      <c r="D3" s="146">
        <f t="shared" si="0"/>
        <v>1822660839.019999</v>
      </c>
      <c r="E3" s="148">
        <f>(B3-B2)/B2</f>
        <v>8.3892407087766546E-2</v>
      </c>
      <c r="F3" s="148">
        <f>(C3-C2)/C2</f>
        <v>-4.2328260954822984E-2</v>
      </c>
      <c r="G3" s="148">
        <f>(D3-D2)/D2</f>
        <v>0.33988539313436339</v>
      </c>
      <c r="I3" t="s">
        <v>122</v>
      </c>
      <c r="J3" s="149">
        <f>AVERAGE(E3:E11)</f>
        <v>8.57941517731588E-2</v>
      </c>
    </row>
    <row r="4" spans="1:10" x14ac:dyDescent="0.25">
      <c r="A4" s="145">
        <v>3</v>
      </c>
      <c r="B4" s="146">
        <v>4840101847.0796394</v>
      </c>
      <c r="C4" s="146">
        <v>2683931472.6519156</v>
      </c>
      <c r="D4" s="146">
        <f t="shared" si="0"/>
        <v>2156170374.4277239</v>
      </c>
      <c r="E4" s="148">
        <f t="shared" ref="E4:G16" si="1">(B4-B3)/B3</f>
        <v>8.4062678946582814E-2</v>
      </c>
      <c r="F4" s="148">
        <f t="shared" si="1"/>
        <v>1.582512367025014E-2</v>
      </c>
      <c r="G4" s="148">
        <f t="shared" si="1"/>
        <v>0.18297948157323934</v>
      </c>
      <c r="I4" t="s">
        <v>123</v>
      </c>
      <c r="J4" s="149">
        <f>AVERAGE(F3:F11)</f>
        <v>2.0524328543781778E-2</v>
      </c>
    </row>
    <row r="5" spans="1:10" x14ac:dyDescent="0.25">
      <c r="A5" s="145">
        <v>4</v>
      </c>
      <c r="B5" s="146">
        <v>5249648884.1805</v>
      </c>
      <c r="C5" s="146">
        <v>2735463166.72545</v>
      </c>
      <c r="D5" s="146">
        <f t="shared" si="0"/>
        <v>2514185717.45505</v>
      </c>
      <c r="E5" s="148">
        <f t="shared" si="1"/>
        <v>8.4615375882631072E-2</v>
      </c>
      <c r="F5" s="148">
        <f t="shared" si="1"/>
        <v>1.920007816839582E-2</v>
      </c>
      <c r="G5" s="148">
        <f t="shared" si="1"/>
        <v>0.16604223268875407</v>
      </c>
      <c r="J5" s="149"/>
    </row>
    <row r="6" spans="1:10" x14ac:dyDescent="0.25">
      <c r="A6" s="145">
        <v>5</v>
      </c>
      <c r="B6" s="146">
        <v>5696780605.3597059</v>
      </c>
      <c r="C6" s="146">
        <v>2797587356.3547649</v>
      </c>
      <c r="D6" s="146">
        <f t="shared" si="0"/>
        <v>2899193249.004941</v>
      </c>
      <c r="E6" s="148">
        <f t="shared" si="1"/>
        <v>8.5173643236714433E-2</v>
      </c>
      <c r="F6" s="148">
        <f t="shared" si="1"/>
        <v>2.2710665742095189E-2</v>
      </c>
      <c r="G6" s="148">
        <f t="shared" si="1"/>
        <v>0.15313408587000071</v>
      </c>
    </row>
    <row r="7" spans="1:10" x14ac:dyDescent="0.25">
      <c r="A7" s="145">
        <v>6</v>
      </c>
      <c r="B7" s="146">
        <v>6185205558.1234674</v>
      </c>
      <c r="C7" s="146">
        <v>2871262926.0881844</v>
      </c>
      <c r="D7" s="146">
        <f t="shared" si="0"/>
        <v>3313942632.0352831</v>
      </c>
      <c r="E7" s="148">
        <f t="shared" si="1"/>
        <v>8.5737012990150324E-2</v>
      </c>
      <c r="F7" s="148">
        <f t="shared" si="1"/>
        <v>2.6335395592228486E-2</v>
      </c>
      <c r="G7" s="148">
        <f t="shared" si="1"/>
        <v>0.14305682560922495</v>
      </c>
    </row>
    <row r="8" spans="1:10" x14ac:dyDescent="0.25">
      <c r="A8" s="145">
        <v>7</v>
      </c>
      <c r="B8" s="146">
        <v>6719019695.2699652</v>
      </c>
      <c r="C8" s="146">
        <v>2957544074.8820024</v>
      </c>
      <c r="D8" s="146">
        <f t="shared" si="0"/>
        <v>3761475620.3879628</v>
      </c>
      <c r="E8" s="148">
        <f t="shared" si="1"/>
        <v>8.6304995384575686E-2</v>
      </c>
      <c r="F8" s="148">
        <f t="shared" si="1"/>
        <v>3.0049894772739481E-2</v>
      </c>
      <c r="G8" s="148">
        <f t="shared" si="1"/>
        <v>0.13504548450128839</v>
      </c>
    </row>
    <row r="9" spans="1:10" x14ac:dyDescent="0.25">
      <c r="A9" s="145">
        <v>8</v>
      </c>
      <c r="B9" s="146">
        <v>7302748510.9240704</v>
      </c>
      <c r="C9" s="146">
        <v>3057590418.0339108</v>
      </c>
      <c r="D9" s="146">
        <f t="shared" si="0"/>
        <v>4245158092.8901596</v>
      </c>
      <c r="E9" s="148">
        <f t="shared" si="1"/>
        <v>8.6877080605231263E-2</v>
      </c>
      <c r="F9" s="148">
        <f t="shared" si="1"/>
        <v>3.3827507086568086E-2</v>
      </c>
      <c r="G9" s="148">
        <f t="shared" si="1"/>
        <v>0.12858849061271047</v>
      </c>
    </row>
    <row r="10" spans="1:10" x14ac:dyDescent="0.25">
      <c r="A10" s="145">
        <v>9</v>
      </c>
      <c r="B10" s="146">
        <v>7941393882.3021946</v>
      </c>
      <c r="C10" s="146">
        <v>3172678203.0497208</v>
      </c>
      <c r="D10" s="146">
        <f t="shared" si="0"/>
        <v>4768715679.2524738</v>
      </c>
      <c r="E10" s="148">
        <f t="shared" si="1"/>
        <v>8.745274062536651E-2</v>
      </c>
      <c r="F10" s="148">
        <f t="shared" si="1"/>
        <v>3.7640026714177655E-2</v>
      </c>
      <c r="G10" s="148">
        <f t="shared" si="1"/>
        <v>0.12333052736932804</v>
      </c>
    </row>
    <row r="11" spans="1:10" x14ac:dyDescent="0.25">
      <c r="A11" s="145">
        <v>10</v>
      </c>
      <c r="B11" s="146">
        <v>8640486151.4794998</v>
      </c>
      <c r="C11" s="146">
        <v>3304212765.1453862</v>
      </c>
      <c r="D11" s="146">
        <f t="shared" si="0"/>
        <v>5336273386.3341141</v>
      </c>
      <c r="E11" s="148">
        <f t="shared" si="1"/>
        <v>8.8031431199410523E-2</v>
      </c>
      <c r="F11" s="148">
        <f t="shared" si="1"/>
        <v>4.1458526102404122E-2</v>
      </c>
      <c r="G11" s="148">
        <f t="shared" si="1"/>
        <v>0.11901688950568939</v>
      </c>
    </row>
    <row r="12" spans="1:10" x14ac:dyDescent="0.25">
      <c r="A12" s="150">
        <v>11</v>
      </c>
      <c r="B12" s="39">
        <f>B11*(1+$J$3)</f>
        <v>9381789331.7534084</v>
      </c>
      <c r="C12" s="39">
        <f>C11*(1+$J$4)</f>
        <v>3372029513.5157876</v>
      </c>
      <c r="D12" s="151">
        <f t="shared" si="0"/>
        <v>6009759818.2376213</v>
      </c>
      <c r="E12" s="152">
        <f t="shared" si="1"/>
        <v>8.5794151773158758E-2</v>
      </c>
      <c r="F12" s="152">
        <f t="shared" si="1"/>
        <v>2.0524328543781722E-2</v>
      </c>
      <c r="G12" s="40">
        <f>(D12-D11)/D11</f>
        <v>0.12620913194370192</v>
      </c>
    </row>
    <row r="13" spans="1:10" x14ac:dyDescent="0.25">
      <c r="A13" s="150">
        <v>12</v>
      </c>
      <c r="B13" s="39">
        <f>B12*(1+$J$3)</f>
        <v>10186691989.585663</v>
      </c>
      <c r="C13" s="39">
        <f t="shared" ref="C13:C16" si="2">C12*(1+$J$4)</f>
        <v>3441238155.1105142</v>
      </c>
      <c r="D13" s="151">
        <f t="shared" si="0"/>
        <v>6745453834.4751492</v>
      </c>
      <c r="E13" s="152">
        <f t="shared" si="1"/>
        <v>8.5794151773158842E-2</v>
      </c>
      <c r="F13" s="152">
        <f t="shared" si="1"/>
        <v>2.0524328543781747E-2</v>
      </c>
      <c r="G13" s="40">
        <f t="shared" si="1"/>
        <v>0.12241654217277391</v>
      </c>
    </row>
    <row r="14" spans="1:10" x14ac:dyDescent="0.25">
      <c r="A14" s="150">
        <v>13</v>
      </c>
      <c r="B14" s="39">
        <f t="shared" ref="B14:B16" si="3">B13*(1+$J$3)</f>
        <v>11060650588.206596</v>
      </c>
      <c r="C14" s="39">
        <f t="shared" si="2"/>
        <v>3511867257.6033998</v>
      </c>
      <c r="D14" s="151">
        <f t="shared" si="0"/>
        <v>7548783330.6031971</v>
      </c>
      <c r="E14" s="152">
        <f t="shared" si="1"/>
        <v>8.5794151773158814E-2</v>
      </c>
      <c r="F14" s="152">
        <f t="shared" si="1"/>
        <v>2.0524328543781754E-2</v>
      </c>
      <c r="G14" s="40">
        <f t="shared" si="1"/>
        <v>0.11909198637196713</v>
      </c>
    </row>
    <row r="15" spans="1:10" x14ac:dyDescent="0.25">
      <c r="A15" s="150">
        <v>14</v>
      </c>
      <c r="B15" s="39">
        <f t="shared" si="3"/>
        <v>12009589723.481071</v>
      </c>
      <c r="C15" s="39">
        <f t="shared" si="2"/>
        <v>3583945975.0006018</v>
      </c>
      <c r="D15" s="151">
        <f t="shared" si="0"/>
        <v>8425643748.4804697</v>
      </c>
      <c r="E15" s="152">
        <f t="shared" si="1"/>
        <v>8.5794151773158814E-2</v>
      </c>
      <c r="F15" s="152">
        <f t="shared" si="1"/>
        <v>2.0524328543781757E-2</v>
      </c>
      <c r="G15" s="40">
        <f t="shared" si="1"/>
        <v>0.11615917154787456</v>
      </c>
    </row>
    <row r="16" spans="1:10" x14ac:dyDescent="0.25">
      <c r="A16" s="150">
        <v>15</v>
      </c>
      <c r="B16" s="39">
        <f t="shared" si="3"/>
        <v>13039942286.950775</v>
      </c>
      <c r="C16" s="39">
        <f t="shared" si="2"/>
        <v>3657504059.6746783</v>
      </c>
      <c r="D16" s="151">
        <f t="shared" si="0"/>
        <v>9382438227.2760963</v>
      </c>
      <c r="E16" s="152">
        <f t="shared" si="1"/>
        <v>8.5794151773158828E-2</v>
      </c>
      <c r="F16" s="152">
        <f t="shared" si="1"/>
        <v>2.0524328543781747E-2</v>
      </c>
      <c r="G16" s="40">
        <f t="shared" si="1"/>
        <v>0.11355743339708382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workbookViewId="0">
      <selection activeCell="H8" sqref="H8:H18"/>
    </sheetView>
  </sheetViews>
  <sheetFormatPr defaultRowHeight="15" x14ac:dyDescent="0.25"/>
  <cols>
    <col min="2" max="2" width="26.28515625" bestFit="1" customWidth="1"/>
    <col min="3" max="3" width="25" bestFit="1" customWidth="1"/>
    <col min="4" max="4" width="14.85546875" bestFit="1" customWidth="1"/>
    <col min="6" max="7" width="23.85546875" bestFit="1" customWidth="1"/>
    <col min="8" max="8" width="14.85546875" bestFit="1" customWidth="1"/>
  </cols>
  <sheetData>
    <row r="2" spans="1:8" x14ac:dyDescent="0.25">
      <c r="B2" s="39"/>
      <c r="C2" s="156" t="s">
        <v>35</v>
      </c>
      <c r="D2" s="156"/>
      <c r="F2" s="39"/>
      <c r="G2" s="156" t="s">
        <v>35</v>
      </c>
      <c r="H2" s="156"/>
    </row>
    <row r="3" spans="1:8" ht="16.5" x14ac:dyDescent="0.3">
      <c r="B3" s="45" t="s">
        <v>17</v>
      </c>
      <c r="C3" s="9" t="s">
        <v>50</v>
      </c>
      <c r="D3" s="47" t="s">
        <v>51</v>
      </c>
      <c r="F3" s="44" t="s">
        <v>18</v>
      </c>
      <c r="G3" s="9" t="s">
        <v>50</v>
      </c>
      <c r="H3" s="47" t="s">
        <v>51</v>
      </c>
    </row>
    <row r="4" spans="1:8" ht="16.5" x14ac:dyDescent="0.3">
      <c r="B4" s="51">
        <v>45000000</v>
      </c>
      <c r="C4" s="52">
        <v>0.05</v>
      </c>
      <c r="D4" s="40">
        <v>0.05</v>
      </c>
      <c r="F4" s="41">
        <v>30000000</v>
      </c>
      <c r="G4" s="40">
        <v>0.08</v>
      </c>
      <c r="H4" s="40">
        <v>0.1</v>
      </c>
    </row>
    <row r="6" spans="1:8" ht="16.5" x14ac:dyDescent="0.3">
      <c r="A6" s="39"/>
      <c r="B6" s="157" t="s">
        <v>17</v>
      </c>
      <c r="C6" s="157"/>
      <c r="F6" s="39"/>
      <c r="G6" s="158" t="s">
        <v>18</v>
      </c>
      <c r="H6" s="158"/>
    </row>
    <row r="7" spans="1:8" ht="16.5" x14ac:dyDescent="0.3">
      <c r="A7" s="47" t="s">
        <v>52</v>
      </c>
      <c r="B7" s="9" t="s">
        <v>50</v>
      </c>
      <c r="C7" s="47" t="s">
        <v>51</v>
      </c>
      <c r="F7" s="50" t="s">
        <v>52</v>
      </c>
      <c r="G7" s="9" t="s">
        <v>50</v>
      </c>
      <c r="H7" s="47" t="s">
        <v>51</v>
      </c>
    </row>
    <row r="8" spans="1:8" x14ac:dyDescent="0.25">
      <c r="A8" s="39">
        <v>0</v>
      </c>
      <c r="B8" s="41">
        <f>((1+C4)^A8)*B4</f>
        <v>45000000</v>
      </c>
      <c r="C8" s="41">
        <f>((1+$D$4)^A8)*$B$4</f>
        <v>45000000</v>
      </c>
      <c r="F8" s="42">
        <v>0</v>
      </c>
      <c r="G8" s="41">
        <f>((1+$G$4)^F8)*$F$4</f>
        <v>30000000</v>
      </c>
      <c r="H8" s="41">
        <f>((1+$H$4)^F8)*$F$4</f>
        <v>30000000</v>
      </c>
    </row>
    <row r="9" spans="1:8" x14ac:dyDescent="0.25">
      <c r="A9" s="39">
        <v>1</v>
      </c>
      <c r="B9" s="41">
        <f>((1+$C$4)^A9)*$B$4</f>
        <v>47250000</v>
      </c>
      <c r="C9" s="41">
        <f t="shared" ref="C9:C18" si="0">((1+$D$4)^A9)*$B$4</f>
        <v>47250000</v>
      </c>
      <c r="F9" s="42">
        <v>1</v>
      </c>
      <c r="G9" s="41">
        <f t="shared" ref="G9:G18" si="1">((1+$G$4)^F9)*$F$4</f>
        <v>32400000.000000004</v>
      </c>
      <c r="H9" s="41">
        <f t="shared" ref="H9:H18" si="2">((1+$H$4)^F9)*$F$4</f>
        <v>33000000.000000004</v>
      </c>
    </row>
    <row r="10" spans="1:8" x14ac:dyDescent="0.25">
      <c r="A10" s="39">
        <v>2</v>
      </c>
      <c r="B10" s="41">
        <f t="shared" ref="B10:B18" si="3">((1+$C$4)^A10)*$B$4</f>
        <v>49612500</v>
      </c>
      <c r="C10" s="41">
        <f t="shared" si="0"/>
        <v>49612500</v>
      </c>
      <c r="F10" s="42">
        <v>2</v>
      </c>
      <c r="G10" s="41">
        <f t="shared" si="1"/>
        <v>34992000</v>
      </c>
      <c r="H10" s="41">
        <f t="shared" si="2"/>
        <v>36300000.000000007</v>
      </c>
    </row>
    <row r="11" spans="1:8" x14ac:dyDescent="0.25">
      <c r="A11" s="39">
        <v>3</v>
      </c>
      <c r="B11" s="41">
        <f t="shared" si="3"/>
        <v>52093125.000000007</v>
      </c>
      <c r="C11" s="41">
        <f t="shared" si="0"/>
        <v>52093125.000000007</v>
      </c>
      <c r="F11" s="42">
        <v>3</v>
      </c>
      <c r="G11" s="41">
        <f t="shared" si="1"/>
        <v>37791360.000000007</v>
      </c>
      <c r="H11" s="41">
        <f t="shared" si="2"/>
        <v>39930000.000000015</v>
      </c>
    </row>
    <row r="12" spans="1:8" x14ac:dyDescent="0.25">
      <c r="A12" s="39">
        <v>4</v>
      </c>
      <c r="B12" s="41">
        <f t="shared" si="3"/>
        <v>54697781.25</v>
      </c>
      <c r="C12" s="41">
        <f t="shared" si="0"/>
        <v>54697781.25</v>
      </c>
      <c r="F12" s="42">
        <v>4</v>
      </c>
      <c r="G12" s="41">
        <f t="shared" si="1"/>
        <v>40814668.800000012</v>
      </c>
      <c r="H12" s="41">
        <f t="shared" si="2"/>
        <v>43923000.000000015</v>
      </c>
    </row>
    <row r="13" spans="1:8" x14ac:dyDescent="0.25">
      <c r="A13" s="39">
        <v>5</v>
      </c>
      <c r="B13" s="41">
        <f t="shared" si="3"/>
        <v>57432670.312500007</v>
      </c>
      <c r="C13" s="41">
        <f t="shared" si="0"/>
        <v>57432670.312500007</v>
      </c>
      <c r="F13" s="42">
        <v>5</v>
      </c>
      <c r="G13" s="41">
        <f t="shared" si="1"/>
        <v>44079842.304000013</v>
      </c>
      <c r="H13" s="41">
        <f t="shared" si="2"/>
        <v>48315300.000000015</v>
      </c>
    </row>
    <row r="14" spans="1:8" x14ac:dyDescent="0.25">
      <c r="A14" s="39">
        <v>6</v>
      </c>
      <c r="B14" s="41">
        <f t="shared" si="3"/>
        <v>60304303.828125</v>
      </c>
      <c r="C14" s="41">
        <f t="shared" si="0"/>
        <v>60304303.828125</v>
      </c>
      <c r="F14" s="42">
        <v>6</v>
      </c>
      <c r="G14" s="41">
        <f t="shared" si="1"/>
        <v>47606229.688320018</v>
      </c>
      <c r="H14" s="41">
        <f t="shared" si="2"/>
        <v>53146830.000000022</v>
      </c>
    </row>
    <row r="15" spans="1:8" x14ac:dyDescent="0.25">
      <c r="A15" s="39">
        <v>7</v>
      </c>
      <c r="B15" s="41">
        <f t="shared" si="3"/>
        <v>63319519.019531257</v>
      </c>
      <c r="C15" s="41">
        <f t="shared" si="0"/>
        <v>63319519.019531257</v>
      </c>
      <c r="F15" s="42">
        <v>7</v>
      </c>
      <c r="G15" s="41">
        <f t="shared" si="1"/>
        <v>51414728.063385621</v>
      </c>
      <c r="H15" s="41">
        <f t="shared" si="2"/>
        <v>58461513.000000037</v>
      </c>
    </row>
    <row r="16" spans="1:8" x14ac:dyDescent="0.25">
      <c r="A16" s="39">
        <v>8</v>
      </c>
      <c r="B16" s="41">
        <f t="shared" si="3"/>
        <v>66485494.970507815</v>
      </c>
      <c r="C16" s="41">
        <f t="shared" si="0"/>
        <v>66485494.970507815</v>
      </c>
      <c r="F16" s="42">
        <v>8</v>
      </c>
      <c r="G16" s="41">
        <f t="shared" si="1"/>
        <v>55527906.308456473</v>
      </c>
      <c r="H16" s="41">
        <f t="shared" si="2"/>
        <v>64307664.300000034</v>
      </c>
    </row>
    <row r="17" spans="1:8" x14ac:dyDescent="0.25">
      <c r="A17" s="39">
        <v>9</v>
      </c>
      <c r="B17" s="41">
        <f t="shared" si="3"/>
        <v>69809769.719033211</v>
      </c>
      <c r="C17" s="41">
        <f t="shared" si="0"/>
        <v>69809769.719033211</v>
      </c>
      <c r="F17" s="42">
        <v>9</v>
      </c>
      <c r="G17" s="41">
        <f t="shared" si="1"/>
        <v>59970138.813132994</v>
      </c>
      <c r="H17" s="41">
        <f t="shared" si="2"/>
        <v>70738430.730000049</v>
      </c>
    </row>
    <row r="18" spans="1:8" x14ac:dyDescent="0.25">
      <c r="A18" s="39">
        <v>10</v>
      </c>
      <c r="B18" s="41">
        <f t="shared" si="3"/>
        <v>73300258.204984874</v>
      </c>
      <c r="C18" s="41">
        <f t="shared" si="0"/>
        <v>73300258.204984874</v>
      </c>
      <c r="F18" s="42">
        <v>10</v>
      </c>
      <c r="G18" s="41">
        <f t="shared" si="1"/>
        <v>64767749.918183632</v>
      </c>
      <c r="H18" s="41">
        <f t="shared" si="2"/>
        <v>77812273.803000063</v>
      </c>
    </row>
  </sheetData>
  <mergeCells count="4">
    <mergeCell ref="C2:D2"/>
    <mergeCell ref="G2:H2"/>
    <mergeCell ref="B6:C6"/>
    <mergeCell ref="G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topLeftCell="A13" workbookViewId="0">
      <selection activeCell="E26" sqref="E26"/>
    </sheetView>
  </sheetViews>
  <sheetFormatPr defaultRowHeight="15" x14ac:dyDescent="0.25"/>
  <cols>
    <col min="2" max="2" width="36.42578125" bestFit="1" customWidth="1"/>
    <col min="3" max="3" width="32" bestFit="1" customWidth="1"/>
    <col min="4" max="4" width="23.85546875" bestFit="1" customWidth="1"/>
    <col min="5" max="5" width="27.28515625" customWidth="1"/>
    <col min="6" max="6" width="16.85546875" bestFit="1" customWidth="1"/>
    <col min="7" max="7" width="23.85546875" bestFit="1" customWidth="1"/>
    <col min="8" max="8" width="19.28515625" bestFit="1" customWidth="1"/>
    <col min="9" max="9" width="36.42578125" bestFit="1" customWidth="1"/>
    <col min="10" max="10" width="35.28515625" bestFit="1" customWidth="1"/>
  </cols>
  <sheetData>
    <row r="1" spans="2:10" x14ac:dyDescent="0.25">
      <c r="E1" s="89"/>
      <c r="F1" s="89" t="s">
        <v>58</v>
      </c>
      <c r="H1" s="77"/>
      <c r="I1" s="161" t="s">
        <v>57</v>
      </c>
      <c r="J1" s="161"/>
    </row>
    <row r="2" spans="2:10" ht="16.5" x14ac:dyDescent="0.3">
      <c r="B2" s="159" t="s">
        <v>29</v>
      </c>
      <c r="C2" s="160"/>
      <c r="D2" s="54"/>
      <c r="E2" s="89" t="s">
        <v>55</v>
      </c>
      <c r="F2" s="89" t="s">
        <v>56</v>
      </c>
      <c r="H2" s="77" t="s">
        <v>55</v>
      </c>
      <c r="I2" s="91" t="s">
        <v>42</v>
      </c>
      <c r="J2" s="91" t="s">
        <v>41</v>
      </c>
    </row>
    <row r="3" spans="2:10" ht="16.5" x14ac:dyDescent="0.3">
      <c r="B3" s="11" t="s">
        <v>30</v>
      </c>
      <c r="C3" s="14">
        <v>100</v>
      </c>
      <c r="D3" s="7"/>
      <c r="E3" s="89">
        <v>0</v>
      </c>
      <c r="F3" s="90">
        <f>((1+$C$12)^E3)*$C$3</f>
        <v>100</v>
      </c>
      <c r="H3" s="77">
        <v>0</v>
      </c>
      <c r="I3" s="92">
        <f>((1+$C$12)^H3)*$C$7</f>
        <v>36</v>
      </c>
      <c r="J3" s="92">
        <f>((1+$C$12)^H3)*$C$8</f>
        <v>48</v>
      </c>
    </row>
    <row r="4" spans="2:10" ht="16.5" x14ac:dyDescent="0.3">
      <c r="B4" s="12" t="s">
        <v>31</v>
      </c>
      <c r="C4" s="12" t="s">
        <v>32</v>
      </c>
      <c r="D4" s="7"/>
      <c r="E4" s="89">
        <v>1</v>
      </c>
      <c r="F4" s="90">
        <f t="shared" ref="F4:F13" si="0">((1+$C$12)^E4)*$C$3</f>
        <v>101.49999999999999</v>
      </c>
      <c r="H4" s="77">
        <v>1</v>
      </c>
      <c r="I4" s="92">
        <f t="shared" ref="I4:I13" si="1">((1+$C$12)^H4)*$C$7</f>
        <v>36.54</v>
      </c>
      <c r="J4" s="92">
        <f t="shared" ref="J4:J13" si="2">((1+$C$12)^H4)*$C$8</f>
        <v>48.72</v>
      </c>
    </row>
    <row r="5" spans="2:10" ht="16.5" x14ac:dyDescent="0.3">
      <c r="B5" s="7"/>
      <c r="C5" s="7"/>
      <c r="D5" s="7"/>
      <c r="E5" s="89">
        <v>2</v>
      </c>
      <c r="F5" s="90">
        <f t="shared" si="0"/>
        <v>103.02249999999998</v>
      </c>
      <c r="H5" s="77">
        <v>2</v>
      </c>
      <c r="I5" s="92">
        <f t="shared" si="1"/>
        <v>37.08809999999999</v>
      </c>
      <c r="J5" s="92">
        <f t="shared" si="2"/>
        <v>49.450799999999987</v>
      </c>
    </row>
    <row r="6" spans="2:10" ht="16.5" x14ac:dyDescent="0.3">
      <c r="B6" s="13"/>
      <c r="C6" s="13" t="s">
        <v>33</v>
      </c>
      <c r="D6" s="7"/>
      <c r="E6" s="89">
        <v>3</v>
      </c>
      <c r="F6" s="90">
        <f t="shared" si="0"/>
        <v>104.56783749999997</v>
      </c>
      <c r="H6" s="77">
        <v>3</v>
      </c>
      <c r="I6" s="92">
        <f t="shared" si="1"/>
        <v>37.644421499999986</v>
      </c>
      <c r="J6" s="92">
        <f t="shared" si="2"/>
        <v>50.192561999999981</v>
      </c>
    </row>
    <row r="7" spans="2:10" ht="16.5" x14ac:dyDescent="0.3">
      <c r="B7" s="13" t="s">
        <v>42</v>
      </c>
      <c r="C7" s="22">
        <v>36</v>
      </c>
      <c r="D7" s="7"/>
      <c r="E7" s="89">
        <v>4</v>
      </c>
      <c r="F7" s="90">
        <f t="shared" si="0"/>
        <v>106.13635506249994</v>
      </c>
      <c r="H7" s="77">
        <v>4</v>
      </c>
      <c r="I7" s="92">
        <f t="shared" si="1"/>
        <v>38.209087822499981</v>
      </c>
      <c r="J7" s="92">
        <f t="shared" si="2"/>
        <v>50.945450429999973</v>
      </c>
    </row>
    <row r="8" spans="2:10" ht="16.5" x14ac:dyDescent="0.3">
      <c r="B8" s="13" t="s">
        <v>41</v>
      </c>
      <c r="C8" s="22">
        <v>48</v>
      </c>
      <c r="D8" s="7"/>
      <c r="E8" s="89">
        <v>5</v>
      </c>
      <c r="F8" s="90">
        <f t="shared" si="0"/>
        <v>107.72840038843742</v>
      </c>
      <c r="H8" s="77">
        <v>5</v>
      </c>
      <c r="I8" s="92">
        <f t="shared" si="1"/>
        <v>38.782224139837474</v>
      </c>
      <c r="J8" s="92">
        <f t="shared" si="2"/>
        <v>51.709632186449966</v>
      </c>
    </row>
    <row r="9" spans="2:10" ht="16.5" x14ac:dyDescent="0.3">
      <c r="B9" s="12" t="s">
        <v>31</v>
      </c>
      <c r="C9" s="12" t="s">
        <v>32</v>
      </c>
      <c r="D9" s="7"/>
      <c r="E9" s="89">
        <v>6</v>
      </c>
      <c r="F9" s="90">
        <f t="shared" si="0"/>
        <v>109.34432639426397</v>
      </c>
      <c r="H9" s="77">
        <v>6</v>
      </c>
      <c r="I9" s="92">
        <f t="shared" si="1"/>
        <v>39.363957501935026</v>
      </c>
      <c r="J9" s="92">
        <f t="shared" si="2"/>
        <v>52.485276669246701</v>
      </c>
    </row>
    <row r="10" spans="2:10" x14ac:dyDescent="0.25">
      <c r="E10" s="89">
        <v>7</v>
      </c>
      <c r="F10" s="90">
        <f t="shared" si="0"/>
        <v>110.98449129017791</v>
      </c>
      <c r="H10" s="77">
        <v>7</v>
      </c>
      <c r="I10" s="92">
        <f t="shared" si="1"/>
        <v>39.954416864464051</v>
      </c>
      <c r="J10" s="92">
        <f t="shared" si="2"/>
        <v>53.272555819285401</v>
      </c>
    </row>
    <row r="11" spans="2:10" ht="16.5" x14ac:dyDescent="0.3">
      <c r="B11" s="13" t="s">
        <v>53</v>
      </c>
      <c r="C11" s="77"/>
      <c r="E11" s="89">
        <v>8</v>
      </c>
      <c r="F11" s="90">
        <f t="shared" si="0"/>
        <v>112.64925865953057</v>
      </c>
      <c r="H11" s="77">
        <v>8</v>
      </c>
      <c r="I11" s="92">
        <f t="shared" si="1"/>
        <v>40.553733117431008</v>
      </c>
      <c r="J11" s="92">
        <f t="shared" si="2"/>
        <v>54.071644156574678</v>
      </c>
    </row>
    <row r="12" spans="2:10" ht="16.5" x14ac:dyDescent="0.3">
      <c r="B12" s="13" t="s">
        <v>54</v>
      </c>
      <c r="C12" s="67">
        <v>1.4999999999999999E-2</v>
      </c>
      <c r="E12" s="89">
        <v>9</v>
      </c>
      <c r="F12" s="90">
        <f t="shared" si="0"/>
        <v>114.33899753942352</v>
      </c>
      <c r="H12" s="77">
        <v>9</v>
      </c>
      <c r="I12" s="92">
        <f t="shared" si="1"/>
        <v>41.162039114192467</v>
      </c>
      <c r="J12" s="92">
        <f t="shared" si="2"/>
        <v>54.882718818923287</v>
      </c>
    </row>
    <row r="13" spans="2:10" x14ac:dyDescent="0.25">
      <c r="E13" s="89">
        <v>10</v>
      </c>
      <c r="F13" s="90">
        <f t="shared" si="0"/>
        <v>116.05408250251486</v>
      </c>
      <c r="H13" s="77">
        <v>10</v>
      </c>
      <c r="I13" s="92">
        <f t="shared" si="1"/>
        <v>41.779469700905345</v>
      </c>
      <c r="J13" s="92">
        <f t="shared" si="2"/>
        <v>55.705959601207127</v>
      </c>
    </row>
    <row r="14" spans="2:10" x14ac:dyDescent="0.25">
      <c r="G14" s="39"/>
      <c r="H14" s="158"/>
      <c r="I14" s="158"/>
    </row>
    <row r="17" spans="2:9" x14ac:dyDescent="0.25">
      <c r="C17" s="39"/>
      <c r="D17" s="156" t="s">
        <v>35</v>
      </c>
      <c r="E17" s="156"/>
      <c r="G17" s="39"/>
      <c r="H17" s="156" t="s">
        <v>35</v>
      </c>
      <c r="I17" s="156"/>
    </row>
    <row r="18" spans="2:9" ht="16.5" x14ac:dyDescent="0.3">
      <c r="C18" s="87" t="s">
        <v>17</v>
      </c>
      <c r="D18" s="9" t="s">
        <v>50</v>
      </c>
      <c r="E18" s="47" t="s">
        <v>51</v>
      </c>
      <c r="G18" s="44" t="s">
        <v>18</v>
      </c>
      <c r="H18" s="9" t="s">
        <v>50</v>
      </c>
      <c r="I18" s="47" t="s">
        <v>51</v>
      </c>
    </row>
    <row r="19" spans="2:9" ht="16.5" x14ac:dyDescent="0.3">
      <c r="C19" s="51">
        <v>45000000</v>
      </c>
      <c r="D19" s="52">
        <v>0.05</v>
      </c>
      <c r="E19" s="40">
        <v>0.05</v>
      </c>
      <c r="G19" s="41">
        <v>30000000</v>
      </c>
      <c r="H19" s="40">
        <v>0.08</v>
      </c>
      <c r="I19" s="40">
        <v>0.1</v>
      </c>
    </row>
    <row r="21" spans="2:9" x14ac:dyDescent="0.25">
      <c r="B21" s="88" t="s">
        <v>24</v>
      </c>
      <c r="C21" s="44" t="s">
        <v>18</v>
      </c>
      <c r="D21" s="44" t="s">
        <v>37</v>
      </c>
      <c r="E21" s="44" t="s">
        <v>105</v>
      </c>
    </row>
    <row r="22" spans="2:9" x14ac:dyDescent="0.25">
      <c r="B22" s="44">
        <v>45000000</v>
      </c>
      <c r="C22" s="44">
        <v>30000000</v>
      </c>
      <c r="D22" s="44">
        <f>C22+B22</f>
        <v>75000000</v>
      </c>
      <c r="E22" s="74">
        <f>D22*$C$3</f>
        <v>7500000000</v>
      </c>
    </row>
    <row r="23" spans="2:9" x14ac:dyDescent="0.25">
      <c r="B23" s="44">
        <v>47250000</v>
      </c>
      <c r="C23" s="44">
        <v>33000000.000000004</v>
      </c>
      <c r="D23" s="44">
        <f>C23+B23</f>
        <v>80250000</v>
      </c>
      <c r="E23" s="74">
        <f t="shared" ref="E23:E32" si="3">D23*$C$3</f>
        <v>8025000000</v>
      </c>
    </row>
    <row r="24" spans="2:9" x14ac:dyDescent="0.25">
      <c r="B24" s="44">
        <v>49612500</v>
      </c>
      <c r="C24" s="44">
        <v>36300000.000000007</v>
      </c>
      <c r="D24" s="44">
        <f t="shared" ref="D24:D31" si="4">C24+B24</f>
        <v>85912500</v>
      </c>
      <c r="E24" s="74">
        <f t="shared" si="3"/>
        <v>8591250000</v>
      </c>
    </row>
    <row r="25" spans="2:9" x14ac:dyDescent="0.25">
      <c r="B25" s="44">
        <v>52093125.000000007</v>
      </c>
      <c r="C25" s="44">
        <v>39930000.000000015</v>
      </c>
      <c r="D25" s="44">
        <f t="shared" si="4"/>
        <v>92023125.00000003</v>
      </c>
      <c r="E25" s="74">
        <f t="shared" si="3"/>
        <v>9202312500.0000038</v>
      </c>
    </row>
    <row r="26" spans="2:9" x14ac:dyDescent="0.25">
      <c r="B26" s="44">
        <v>54697781.25</v>
      </c>
      <c r="C26" s="44">
        <v>43923000.000000015</v>
      </c>
      <c r="D26" s="44">
        <f t="shared" si="4"/>
        <v>98620781.250000015</v>
      </c>
      <c r="E26" s="74">
        <f t="shared" si="3"/>
        <v>9862078125.0000019</v>
      </c>
    </row>
    <row r="27" spans="2:9" x14ac:dyDescent="0.25">
      <c r="B27" s="44">
        <v>57432670.312500007</v>
      </c>
      <c r="C27" s="44">
        <v>48315300.000000015</v>
      </c>
      <c r="D27" s="44">
        <f t="shared" si="4"/>
        <v>105747970.31250003</v>
      </c>
      <c r="E27" s="74">
        <f t="shared" si="3"/>
        <v>10574797031.250004</v>
      </c>
    </row>
    <row r="28" spans="2:9" x14ac:dyDescent="0.25">
      <c r="B28" s="44">
        <v>60304303.828125</v>
      </c>
      <c r="C28" s="44">
        <v>53146830.000000022</v>
      </c>
      <c r="D28" s="44">
        <f t="shared" si="4"/>
        <v>113451133.82812503</v>
      </c>
      <c r="E28" s="74">
        <f t="shared" si="3"/>
        <v>11345113382.812504</v>
      </c>
    </row>
    <row r="29" spans="2:9" x14ac:dyDescent="0.25">
      <c r="B29" s="44">
        <v>63319519.019531257</v>
      </c>
      <c r="C29" s="44">
        <v>58461513.000000037</v>
      </c>
      <c r="D29" s="44">
        <f t="shared" si="4"/>
        <v>121781032.01953129</v>
      </c>
      <c r="E29" s="74">
        <f t="shared" si="3"/>
        <v>12178103201.953129</v>
      </c>
    </row>
    <row r="30" spans="2:9" x14ac:dyDescent="0.25">
      <c r="B30" s="44">
        <v>66485494.970507815</v>
      </c>
      <c r="C30" s="44">
        <v>64307664.300000034</v>
      </c>
      <c r="D30" s="44">
        <f t="shared" si="4"/>
        <v>130793159.27050784</v>
      </c>
      <c r="E30" s="74">
        <f t="shared" si="3"/>
        <v>13079315927.050785</v>
      </c>
    </row>
    <row r="31" spans="2:9" x14ac:dyDescent="0.25">
      <c r="B31" s="44">
        <v>69809769.719033211</v>
      </c>
      <c r="C31" s="44">
        <v>70738430.730000049</v>
      </c>
      <c r="D31" s="44">
        <f t="shared" si="4"/>
        <v>140548200.44903326</v>
      </c>
      <c r="E31" s="74">
        <f t="shared" si="3"/>
        <v>14054820044.903326</v>
      </c>
    </row>
    <row r="32" spans="2:9" x14ac:dyDescent="0.25">
      <c r="B32" s="44">
        <v>73300258.204984874</v>
      </c>
      <c r="C32" s="44">
        <v>77812273.803000063</v>
      </c>
      <c r="D32" s="44">
        <f>C32+B32</f>
        <v>151112532.00798494</v>
      </c>
      <c r="E32" s="74">
        <f t="shared" si="3"/>
        <v>15111253200.798494</v>
      </c>
    </row>
  </sheetData>
  <mergeCells count="5">
    <mergeCell ref="B2:C2"/>
    <mergeCell ref="I1:J1"/>
    <mergeCell ref="H14:I14"/>
    <mergeCell ref="D17:E17"/>
    <mergeCell ref="H17:I17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topLeftCell="B4" workbookViewId="0">
      <selection activeCell="E15" sqref="E15"/>
    </sheetView>
  </sheetViews>
  <sheetFormatPr defaultRowHeight="15" x14ac:dyDescent="0.25"/>
  <cols>
    <col min="2" max="2" width="44.42578125" bestFit="1" customWidth="1"/>
    <col min="3" max="3" width="29.42578125" bestFit="1" customWidth="1"/>
    <col min="4" max="4" width="26" bestFit="1" customWidth="1"/>
    <col min="5" max="5" width="17.85546875" bestFit="1" customWidth="1"/>
    <col min="6" max="6" width="22" bestFit="1" customWidth="1"/>
    <col min="7" max="8" width="23.28515625" bestFit="1" customWidth="1"/>
    <col min="9" max="9" width="29.28515625" bestFit="1" customWidth="1"/>
    <col min="10" max="10" width="17.7109375" bestFit="1" customWidth="1"/>
    <col min="11" max="11" width="20.7109375" bestFit="1" customWidth="1"/>
    <col min="12" max="12" width="9" bestFit="1" customWidth="1"/>
  </cols>
  <sheetData>
    <row r="1" spans="2:9" x14ac:dyDescent="0.25">
      <c r="B1" s="69" t="s">
        <v>6</v>
      </c>
      <c r="E1" s="59" t="s">
        <v>52</v>
      </c>
      <c r="F1" s="59" t="s">
        <v>61</v>
      </c>
      <c r="G1" s="59" t="s">
        <v>62</v>
      </c>
    </row>
    <row r="2" spans="2:9" x14ac:dyDescent="0.25">
      <c r="E2" s="59">
        <v>0</v>
      </c>
      <c r="F2" s="60">
        <f t="shared" ref="F2:F11" si="0">((1+$C$8)^E2)*$B$7</f>
        <v>28.8</v>
      </c>
      <c r="G2" s="60">
        <f t="shared" ref="G2:G11" si="1">((1+$C$8)^E2)*$B$4</f>
        <v>50</v>
      </c>
    </row>
    <row r="3" spans="2:9" ht="16.5" x14ac:dyDescent="0.3">
      <c r="B3" s="15" t="s">
        <v>34</v>
      </c>
      <c r="E3" s="59">
        <v>1</v>
      </c>
      <c r="F3" s="60">
        <f t="shared" si="0"/>
        <v>29.231999999999999</v>
      </c>
      <c r="G3" s="60">
        <f t="shared" si="1"/>
        <v>50.749999999999993</v>
      </c>
    </row>
    <row r="4" spans="2:9" ht="16.5" x14ac:dyDescent="0.3">
      <c r="B4" s="16">
        <v>50</v>
      </c>
      <c r="E4" s="59">
        <v>2</v>
      </c>
      <c r="F4" s="60">
        <f t="shared" si="0"/>
        <v>29.670479999999994</v>
      </c>
      <c r="G4" s="60">
        <f t="shared" si="1"/>
        <v>51.51124999999999</v>
      </c>
    </row>
    <row r="5" spans="2:9" ht="16.5" x14ac:dyDescent="0.3">
      <c r="B5" s="1" t="s">
        <v>40</v>
      </c>
      <c r="E5" s="59">
        <v>3</v>
      </c>
      <c r="F5" s="60">
        <f t="shared" si="0"/>
        <v>30.115537199999988</v>
      </c>
      <c r="G5" s="60">
        <f t="shared" si="1"/>
        <v>52.283918749999984</v>
      </c>
    </row>
    <row r="6" spans="2:9" ht="16.5" x14ac:dyDescent="0.3">
      <c r="B6" s="24">
        <v>0.6</v>
      </c>
      <c r="E6" s="59">
        <v>4</v>
      </c>
      <c r="F6" s="60">
        <f t="shared" si="0"/>
        <v>30.567270257999983</v>
      </c>
      <c r="G6" s="60">
        <f t="shared" si="1"/>
        <v>53.068177531249972</v>
      </c>
    </row>
    <row r="7" spans="2:9" ht="16.5" x14ac:dyDescent="0.3">
      <c r="B7" s="58">
        <v>28.8</v>
      </c>
      <c r="E7" s="59">
        <v>5</v>
      </c>
      <c r="F7" s="60">
        <f t="shared" si="0"/>
        <v>31.025779311869979</v>
      </c>
      <c r="G7" s="60">
        <f t="shared" si="1"/>
        <v>53.864200194218711</v>
      </c>
    </row>
    <row r="8" spans="2:9" x14ac:dyDescent="0.25">
      <c r="B8" s="49" t="s">
        <v>32</v>
      </c>
      <c r="C8" s="68">
        <v>1.4999999999999999E-2</v>
      </c>
      <c r="E8" s="59">
        <v>6</v>
      </c>
      <c r="F8" s="60">
        <f t="shared" si="0"/>
        <v>31.491166001548024</v>
      </c>
      <c r="G8" s="60">
        <f t="shared" si="1"/>
        <v>54.672163197131987</v>
      </c>
    </row>
    <row r="9" spans="2:9" x14ac:dyDescent="0.25">
      <c r="E9" s="59">
        <v>7</v>
      </c>
      <c r="F9" s="60">
        <f t="shared" si="0"/>
        <v>31.963533491571241</v>
      </c>
      <c r="G9" s="60">
        <f t="shared" si="1"/>
        <v>55.492245645088957</v>
      </c>
    </row>
    <row r="10" spans="2:9" ht="16.5" x14ac:dyDescent="0.3">
      <c r="B10" s="19" t="s">
        <v>35</v>
      </c>
      <c r="C10" s="7"/>
      <c r="E10" s="59">
        <v>8</v>
      </c>
      <c r="F10" s="60">
        <f t="shared" si="0"/>
        <v>32.442986493944808</v>
      </c>
      <c r="G10" s="60">
        <f t="shared" si="1"/>
        <v>56.324629329765287</v>
      </c>
    </row>
    <row r="11" spans="2:9" ht="16.5" x14ac:dyDescent="0.3">
      <c r="B11" s="26" t="s">
        <v>38</v>
      </c>
      <c r="C11" s="27">
        <v>0.08</v>
      </c>
      <c r="E11" s="59">
        <v>9</v>
      </c>
      <c r="F11" s="60">
        <f t="shared" si="0"/>
        <v>32.929631291353971</v>
      </c>
      <c r="G11" s="60">
        <f t="shared" si="1"/>
        <v>57.169498769711758</v>
      </c>
    </row>
    <row r="12" spans="2:9" ht="16.5" x14ac:dyDescent="0.3">
      <c r="B12" s="7"/>
      <c r="C12" s="7"/>
      <c r="D12" s="7"/>
    </row>
    <row r="14" spans="2:9" ht="16.5" x14ac:dyDescent="0.3">
      <c r="B14" s="20" t="s">
        <v>52</v>
      </c>
      <c r="C14" s="20" t="s">
        <v>12</v>
      </c>
      <c r="D14" s="20" t="s">
        <v>36</v>
      </c>
      <c r="E14" s="20" t="s">
        <v>37</v>
      </c>
      <c r="F14" s="20" t="s">
        <v>59</v>
      </c>
      <c r="G14" s="20" t="s">
        <v>60</v>
      </c>
      <c r="H14" s="20" t="s">
        <v>63</v>
      </c>
    </row>
    <row r="15" spans="2:9" ht="16.5" x14ac:dyDescent="0.3">
      <c r="B15" s="20">
        <v>0</v>
      </c>
      <c r="C15" s="20">
        <v>1</v>
      </c>
      <c r="D15" s="21">
        <v>0</v>
      </c>
      <c r="E15" s="21">
        <v>5000000</v>
      </c>
      <c r="F15" s="62">
        <f>F2*E15</f>
        <v>144000000</v>
      </c>
      <c r="G15" s="63">
        <f>G2*E15</f>
        <v>250000000</v>
      </c>
      <c r="H15" s="61">
        <f>G15-F15</f>
        <v>106000000</v>
      </c>
    </row>
    <row r="16" spans="2:9" ht="16.5" x14ac:dyDescent="0.3">
      <c r="B16" s="20">
        <v>1</v>
      </c>
      <c r="C16" s="20">
        <v>2</v>
      </c>
      <c r="D16" s="21">
        <f>E16-E15</f>
        <v>400000</v>
      </c>
      <c r="E16" s="21">
        <f t="shared" ref="E16:E24" si="2">((1+$C$11)^B16)*$E$15</f>
        <v>5400000</v>
      </c>
      <c r="F16" s="62">
        <f>F3*E16</f>
        <v>157852800</v>
      </c>
      <c r="G16" s="63">
        <f>G3*E16</f>
        <v>274049999.99999994</v>
      </c>
      <c r="H16" s="61">
        <f>G16-F16</f>
        <v>116197199.99999994</v>
      </c>
      <c r="I16" s="7"/>
    </row>
    <row r="17" spans="2:8" ht="16.5" x14ac:dyDescent="0.3">
      <c r="B17" s="20">
        <v>2</v>
      </c>
      <c r="C17" s="20">
        <v>3</v>
      </c>
      <c r="D17" s="21">
        <f>E17-E16</f>
        <v>432000.00000000093</v>
      </c>
      <c r="E17" s="21">
        <f t="shared" si="2"/>
        <v>5832000.0000000009</v>
      </c>
      <c r="F17" s="62">
        <f t="shared" ref="F17:F24" si="3">F4*E17</f>
        <v>173038239.35999998</v>
      </c>
      <c r="G17" s="63">
        <f t="shared" ref="G17:G24" si="4">G4*E17</f>
        <v>300413610</v>
      </c>
      <c r="H17" s="61">
        <f t="shared" ref="H17:H24" si="5">G17-F17</f>
        <v>127375370.64000002</v>
      </c>
    </row>
    <row r="18" spans="2:8" ht="16.5" x14ac:dyDescent="0.3">
      <c r="B18" s="20">
        <v>3</v>
      </c>
      <c r="C18" s="20">
        <v>4</v>
      </c>
      <c r="D18" s="21">
        <f t="shared" ref="D18:D23" si="6">E18-E17</f>
        <v>466560</v>
      </c>
      <c r="E18" s="21">
        <f t="shared" si="2"/>
        <v>6298560.0000000009</v>
      </c>
      <c r="F18" s="62">
        <f t="shared" si="3"/>
        <v>189684517.98643196</v>
      </c>
      <c r="G18" s="63">
        <f t="shared" si="4"/>
        <v>329313399.28199995</v>
      </c>
      <c r="H18" s="61">
        <f t="shared" si="5"/>
        <v>139628881.29556799</v>
      </c>
    </row>
    <row r="19" spans="2:8" ht="16.5" x14ac:dyDescent="0.3">
      <c r="B19" s="20">
        <v>4</v>
      </c>
      <c r="C19" s="20">
        <v>5</v>
      </c>
      <c r="D19" s="21">
        <f t="shared" si="6"/>
        <v>503884.80000000075</v>
      </c>
      <c r="E19" s="21">
        <f t="shared" si="2"/>
        <v>6802444.8000000017</v>
      </c>
      <c r="F19" s="62">
        <f t="shared" si="3"/>
        <v>207932168.6167267</v>
      </c>
      <c r="G19" s="63">
        <f t="shared" si="4"/>
        <v>360993348.29292828</v>
      </c>
      <c r="H19" s="61">
        <f t="shared" si="5"/>
        <v>153061179.67620158</v>
      </c>
    </row>
    <row r="20" spans="2:8" ht="16.5" x14ac:dyDescent="0.3">
      <c r="B20" s="20">
        <v>5</v>
      </c>
      <c r="C20" s="20">
        <v>6</v>
      </c>
      <c r="D20" s="21">
        <f t="shared" si="6"/>
        <v>544195.5839999998</v>
      </c>
      <c r="E20" s="21">
        <f t="shared" si="2"/>
        <v>7346640.3840000015</v>
      </c>
      <c r="F20" s="62">
        <f t="shared" si="3"/>
        <v>227935243.23765576</v>
      </c>
      <c r="G20" s="63">
        <f t="shared" si="4"/>
        <v>395720908.39870793</v>
      </c>
      <c r="H20" s="61">
        <f t="shared" si="5"/>
        <v>167785665.16105217</v>
      </c>
    </row>
    <row r="21" spans="2:8" ht="16.5" x14ac:dyDescent="0.3">
      <c r="B21" s="20">
        <v>6</v>
      </c>
      <c r="C21" s="20">
        <v>7</v>
      </c>
      <c r="D21" s="21">
        <f t="shared" si="6"/>
        <v>587731.23072000127</v>
      </c>
      <c r="E21" s="21">
        <f t="shared" si="2"/>
        <v>7934371.6147200027</v>
      </c>
      <c r="F21" s="62">
        <f t="shared" si="3"/>
        <v>249862613.63711825</v>
      </c>
      <c r="G21" s="63">
        <f t="shared" si="4"/>
        <v>433789259.78666365</v>
      </c>
      <c r="H21" s="61">
        <f t="shared" si="5"/>
        <v>183926646.1495454</v>
      </c>
    </row>
    <row r="22" spans="2:8" ht="16.5" x14ac:dyDescent="0.3">
      <c r="B22" s="20">
        <v>7</v>
      </c>
      <c r="C22" s="20">
        <v>8</v>
      </c>
      <c r="D22" s="21">
        <f t="shared" si="6"/>
        <v>634749.7291776007</v>
      </c>
      <c r="E22" s="21">
        <f t="shared" si="2"/>
        <v>8569121.3438976035</v>
      </c>
      <c r="F22" s="62">
        <f t="shared" si="3"/>
        <v>273899397.06900901</v>
      </c>
      <c r="G22" s="63">
        <f t="shared" si="4"/>
        <v>475519786.57814062</v>
      </c>
      <c r="H22" s="61">
        <f t="shared" si="5"/>
        <v>201620389.50913161</v>
      </c>
    </row>
    <row r="23" spans="2:8" ht="18.75" customHeight="1" x14ac:dyDescent="0.3">
      <c r="B23" s="20">
        <v>8</v>
      </c>
      <c r="C23" s="20">
        <v>9</v>
      </c>
      <c r="D23" s="21">
        <f t="shared" si="6"/>
        <v>685529.70751180872</v>
      </c>
      <c r="E23" s="21">
        <f t="shared" si="2"/>
        <v>9254651.0514094122</v>
      </c>
      <c r="F23" s="62">
        <f t="shared" si="3"/>
        <v>300248519.06704766</v>
      </c>
      <c r="G23" s="63">
        <f t="shared" si="4"/>
        <v>521264790.04695773</v>
      </c>
      <c r="H23" s="61">
        <f t="shared" si="5"/>
        <v>221016270.97991008</v>
      </c>
    </row>
    <row r="24" spans="2:8" ht="16.5" x14ac:dyDescent="0.3">
      <c r="B24" s="20">
        <v>9</v>
      </c>
      <c r="C24" s="20">
        <v>10</v>
      </c>
      <c r="D24" s="21">
        <f>E24-E23</f>
        <v>740372.08411275223</v>
      </c>
      <c r="E24" s="17">
        <f t="shared" si="2"/>
        <v>9995023.1355221644</v>
      </c>
      <c r="F24" s="62">
        <f t="shared" si="3"/>
        <v>329132426.60129756</v>
      </c>
      <c r="G24" s="63">
        <f t="shared" si="4"/>
        <v>571410462.84947491</v>
      </c>
      <c r="H24" s="61">
        <f t="shared" si="5"/>
        <v>242278036.24817735</v>
      </c>
    </row>
    <row r="25" spans="2:8" ht="16.5" x14ac:dyDescent="0.3">
      <c r="B25" s="7"/>
      <c r="C25" s="7"/>
      <c r="D25" s="7"/>
      <c r="E25" s="2"/>
      <c r="F25" s="64">
        <f>SUM(F15:F24)</f>
        <v>2253585925.5752869</v>
      </c>
      <c r="G25" s="65">
        <f>SUM(G15:G24)</f>
        <v>3912475565.2348728</v>
      </c>
      <c r="H25" s="66">
        <f>SUM(H15:H24)</f>
        <v>1658889639.6595862</v>
      </c>
    </row>
    <row r="26" spans="2:8" ht="16.5" x14ac:dyDescent="0.3">
      <c r="B26" s="7"/>
    </row>
    <row r="27" spans="2:8" ht="16.5" x14ac:dyDescent="0.3">
      <c r="C27" s="20" t="s">
        <v>39</v>
      </c>
      <c r="D27" s="18">
        <f>((1+C11)^B24)*E15</f>
        <v>9995023.1355221644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workbookViewId="0">
      <selection activeCell="D5" sqref="D5:D15"/>
    </sheetView>
  </sheetViews>
  <sheetFormatPr defaultRowHeight="15" x14ac:dyDescent="0.25"/>
  <cols>
    <col min="2" max="2" width="13.140625" bestFit="1" customWidth="1"/>
    <col min="3" max="3" width="14.85546875" bestFit="1" customWidth="1"/>
    <col min="4" max="4" width="16.85546875" bestFit="1" customWidth="1"/>
    <col min="5" max="5" width="12" bestFit="1" customWidth="1"/>
  </cols>
  <sheetData>
    <row r="2" spans="2:5" x14ac:dyDescent="0.25">
      <c r="B2" s="46" t="s">
        <v>83</v>
      </c>
      <c r="C2" s="86">
        <v>600000000</v>
      </c>
    </row>
    <row r="3" spans="2:5" x14ac:dyDescent="0.25">
      <c r="B3" s="46" t="s">
        <v>32</v>
      </c>
      <c r="C3" s="68">
        <v>1.4999999999999999E-2</v>
      </c>
    </row>
    <row r="5" spans="2:5" x14ac:dyDescent="0.25">
      <c r="B5" s="47" t="s">
        <v>55</v>
      </c>
      <c r="C5" s="47" t="s">
        <v>12</v>
      </c>
      <c r="D5" s="47" t="s">
        <v>83</v>
      </c>
    </row>
    <row r="6" spans="2:5" x14ac:dyDescent="0.25">
      <c r="B6" s="47">
        <v>0</v>
      </c>
      <c r="C6" s="47">
        <v>1</v>
      </c>
      <c r="D6" s="103">
        <f>((1+$C$3)^B6)*$C$2</f>
        <v>600000000</v>
      </c>
      <c r="E6" s="89">
        <f>65%*1.1</f>
        <v>0.71500000000000008</v>
      </c>
    </row>
    <row r="7" spans="2:5" x14ac:dyDescent="0.25">
      <c r="B7" s="47">
        <v>1</v>
      </c>
      <c r="C7" s="47">
        <v>2</v>
      </c>
      <c r="D7" s="103">
        <f t="shared" ref="D7:D15" si="0">((1+$C$3)^B7)*$C$2</f>
        <v>609000000</v>
      </c>
      <c r="E7" s="89">
        <f>E6*1.1</f>
        <v>0.7865000000000002</v>
      </c>
    </row>
    <row r="8" spans="2:5" x14ac:dyDescent="0.25">
      <c r="B8" s="47">
        <v>2</v>
      </c>
      <c r="C8" s="47">
        <v>3</v>
      </c>
      <c r="D8" s="103">
        <f t="shared" si="0"/>
        <v>618134999.99999988</v>
      </c>
      <c r="E8" s="89">
        <f t="shared" ref="E8:E15" si="1">E7*1.1</f>
        <v>0.86515000000000031</v>
      </c>
    </row>
    <row r="9" spans="2:5" x14ac:dyDescent="0.25">
      <c r="B9" s="47">
        <v>3</v>
      </c>
      <c r="C9" s="47">
        <v>4</v>
      </c>
      <c r="D9" s="103">
        <f t="shared" si="0"/>
        <v>627407024.99999976</v>
      </c>
      <c r="E9" s="89">
        <f t="shared" si="1"/>
        <v>0.95166500000000043</v>
      </c>
    </row>
    <row r="10" spans="2:5" x14ac:dyDescent="0.25">
      <c r="B10" s="47">
        <v>4</v>
      </c>
      <c r="C10" s="47">
        <v>5</v>
      </c>
      <c r="D10" s="103">
        <f t="shared" si="0"/>
        <v>636818130.37499964</v>
      </c>
      <c r="E10" s="89">
        <f t="shared" si="1"/>
        <v>1.0468315000000006</v>
      </c>
    </row>
    <row r="11" spans="2:5" x14ac:dyDescent="0.25">
      <c r="B11" s="47">
        <v>5</v>
      </c>
      <c r="C11" s="47">
        <v>6</v>
      </c>
      <c r="D11" s="103">
        <f t="shared" si="0"/>
        <v>646370402.33062458</v>
      </c>
      <c r="E11" s="89">
        <f t="shared" si="1"/>
        <v>1.1515146500000006</v>
      </c>
    </row>
    <row r="12" spans="2:5" x14ac:dyDescent="0.25">
      <c r="B12" s="47">
        <v>6</v>
      </c>
      <c r="C12" s="47">
        <v>7</v>
      </c>
      <c r="D12" s="103">
        <f t="shared" si="0"/>
        <v>656065958.36558378</v>
      </c>
      <c r="E12" s="89">
        <f t="shared" si="1"/>
        <v>1.2666661150000007</v>
      </c>
    </row>
    <row r="13" spans="2:5" x14ac:dyDescent="0.25">
      <c r="B13" s="47">
        <v>7</v>
      </c>
      <c r="C13" s="47">
        <v>8</v>
      </c>
      <c r="D13" s="103">
        <f t="shared" si="0"/>
        <v>665906947.74106741</v>
      </c>
      <c r="E13" s="89">
        <f t="shared" si="1"/>
        <v>1.3933327265000008</v>
      </c>
    </row>
    <row r="14" spans="2:5" x14ac:dyDescent="0.25">
      <c r="B14" s="47">
        <v>8</v>
      </c>
      <c r="C14" s="47">
        <v>9</v>
      </c>
      <c r="D14" s="103">
        <f t="shared" si="0"/>
        <v>675895551.95718348</v>
      </c>
      <c r="E14" s="89">
        <f t="shared" si="1"/>
        <v>1.5326659991500011</v>
      </c>
    </row>
    <row r="15" spans="2:5" x14ac:dyDescent="0.25">
      <c r="B15" s="47">
        <v>9</v>
      </c>
      <c r="C15" s="47">
        <v>10</v>
      </c>
      <c r="D15" s="103">
        <f t="shared" si="0"/>
        <v>686033985.23654103</v>
      </c>
      <c r="E15" s="89">
        <f t="shared" si="1"/>
        <v>1.6859325990650014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topLeftCell="D2" workbookViewId="0">
      <selection activeCell="D23" sqref="D23"/>
    </sheetView>
  </sheetViews>
  <sheetFormatPr defaultColWidth="9" defaultRowHeight="15" x14ac:dyDescent="0.25"/>
  <cols>
    <col min="2" max="2" width="16.140625" bestFit="1" customWidth="1"/>
    <col min="3" max="3" width="29.28515625" bestFit="1" customWidth="1"/>
    <col min="4" max="4" width="28.85546875" bestFit="1" customWidth="1"/>
    <col min="6" max="6" width="14.85546875" bestFit="1" customWidth="1"/>
    <col min="7" max="7" width="15.85546875" bestFit="1" customWidth="1"/>
    <col min="8" max="8" width="13.85546875" bestFit="1" customWidth="1"/>
    <col min="9" max="9" width="5.140625" bestFit="1" customWidth="1"/>
    <col min="10" max="10" width="27.140625" bestFit="1" customWidth="1"/>
    <col min="11" max="12" width="28.85546875" bestFit="1" customWidth="1"/>
  </cols>
  <sheetData>
    <row r="1" spans="2:12" x14ac:dyDescent="0.25">
      <c r="B1" s="162" t="s">
        <v>68</v>
      </c>
      <c r="C1" s="162"/>
      <c r="D1" s="162"/>
      <c r="F1" s="56" t="s">
        <v>51</v>
      </c>
    </row>
    <row r="3" spans="2:12" ht="16.5" x14ac:dyDescent="0.3">
      <c r="B3" s="30" t="s">
        <v>46</v>
      </c>
      <c r="C3" s="31">
        <v>400000000</v>
      </c>
      <c r="D3" s="7"/>
      <c r="F3" s="44" t="s">
        <v>69</v>
      </c>
      <c r="G3" s="44" t="s">
        <v>38</v>
      </c>
    </row>
    <row r="4" spans="2:12" ht="16.5" x14ac:dyDescent="0.3">
      <c r="B4" s="7"/>
      <c r="C4" s="13" t="s">
        <v>48</v>
      </c>
      <c r="D4" s="7"/>
      <c r="F4" s="74">
        <v>40000000</v>
      </c>
      <c r="G4" s="67">
        <v>0.1</v>
      </c>
    </row>
    <row r="5" spans="2:12" ht="16.5" x14ac:dyDescent="0.3">
      <c r="B5" s="7"/>
      <c r="C5" s="32">
        <v>0.05</v>
      </c>
      <c r="D5" s="7"/>
    </row>
    <row r="6" spans="2:12" ht="16.5" x14ac:dyDescent="0.3">
      <c r="B6" s="9" t="s">
        <v>12</v>
      </c>
      <c r="C6" s="9" t="s">
        <v>47</v>
      </c>
      <c r="D6" s="9" t="s">
        <v>49</v>
      </c>
      <c r="F6" s="9" t="s">
        <v>12</v>
      </c>
      <c r="G6" s="47" t="s">
        <v>69</v>
      </c>
      <c r="H6" s="9" t="s">
        <v>71</v>
      </c>
      <c r="J6" s="9" t="s">
        <v>12</v>
      </c>
      <c r="K6" s="9" t="s">
        <v>47</v>
      </c>
      <c r="L6" s="9" t="s">
        <v>49</v>
      </c>
    </row>
    <row r="7" spans="2:12" ht="16.5" x14ac:dyDescent="0.3">
      <c r="B7" s="9">
        <v>0</v>
      </c>
      <c r="C7" s="29">
        <f>((1+$C$5)^B7)*$C$3</f>
        <v>400000000</v>
      </c>
      <c r="D7" s="29">
        <v>0</v>
      </c>
      <c r="F7" s="9">
        <v>0</v>
      </c>
      <c r="G7" s="73">
        <f>((1+$G$4)^F7)*$F$4</f>
        <v>40000000</v>
      </c>
      <c r="H7" s="75">
        <v>0</v>
      </c>
      <c r="J7" s="9">
        <v>0</v>
      </c>
      <c r="K7" s="57">
        <f t="shared" ref="K7:K17" si="0">C7+G7</f>
        <v>440000000</v>
      </c>
      <c r="L7" s="55">
        <f>H7+D7</f>
        <v>0</v>
      </c>
    </row>
    <row r="8" spans="2:12" ht="16.5" x14ac:dyDescent="0.3">
      <c r="B8" s="9">
        <v>1</v>
      </c>
      <c r="C8" s="29">
        <f>((1+$C$5)^B8)*$C$3</f>
        <v>420000000</v>
      </c>
      <c r="D8" s="29">
        <f>C8-C7</f>
        <v>20000000</v>
      </c>
      <c r="F8" s="9">
        <v>1</v>
      </c>
      <c r="G8" s="73">
        <f t="shared" ref="G8:G17" si="1">((1+$G$4)^F8)*$F$4</f>
        <v>44000000</v>
      </c>
      <c r="H8" s="76">
        <f>G8-G7</f>
        <v>4000000</v>
      </c>
      <c r="J8" s="9">
        <v>1</v>
      </c>
      <c r="K8" s="57">
        <f t="shared" si="0"/>
        <v>464000000</v>
      </c>
      <c r="L8" s="57">
        <f>H8+D8</f>
        <v>24000000</v>
      </c>
    </row>
    <row r="9" spans="2:12" ht="16.5" x14ac:dyDescent="0.3">
      <c r="B9" s="9">
        <v>2</v>
      </c>
      <c r="C9" s="29">
        <f t="shared" ref="C9:C16" si="2">((1+$C$5)^B9)*$C$3</f>
        <v>441000000</v>
      </c>
      <c r="D9" s="29">
        <f>C9-C8</f>
        <v>21000000</v>
      </c>
      <c r="F9" s="9">
        <v>2</v>
      </c>
      <c r="G9" s="73">
        <f t="shared" si="1"/>
        <v>48400000.000000007</v>
      </c>
      <c r="H9" s="76">
        <f>G9-G8</f>
        <v>4400000.0000000075</v>
      </c>
      <c r="J9" s="9">
        <v>2</v>
      </c>
      <c r="K9" s="57">
        <f t="shared" si="0"/>
        <v>489400000</v>
      </c>
      <c r="L9" s="55">
        <f>H9+D9</f>
        <v>25400000.000000007</v>
      </c>
    </row>
    <row r="10" spans="2:12" ht="16.5" x14ac:dyDescent="0.3">
      <c r="B10" s="9">
        <v>3</v>
      </c>
      <c r="C10" s="29">
        <f t="shared" si="2"/>
        <v>463050000.00000006</v>
      </c>
      <c r="D10" s="29">
        <f t="shared" ref="D10:D17" si="3">C10-C9</f>
        <v>22050000.00000006</v>
      </c>
      <c r="F10" s="9">
        <v>3</v>
      </c>
      <c r="G10" s="73">
        <f t="shared" si="1"/>
        <v>53240000.000000015</v>
      </c>
      <c r="H10" s="76">
        <f t="shared" ref="H10:H17" si="4">G10-G9</f>
        <v>4840000.0000000075</v>
      </c>
      <c r="J10" s="9">
        <v>3</v>
      </c>
      <c r="K10" s="57">
        <f t="shared" si="0"/>
        <v>516290000.00000006</v>
      </c>
      <c r="L10" s="55">
        <f t="shared" ref="L10:L17" si="5">H10+D10</f>
        <v>26890000.000000067</v>
      </c>
    </row>
    <row r="11" spans="2:12" ht="16.5" x14ac:dyDescent="0.3">
      <c r="B11" s="9">
        <v>4</v>
      </c>
      <c r="C11" s="29">
        <f t="shared" si="2"/>
        <v>486202500</v>
      </c>
      <c r="D11" s="29">
        <f t="shared" si="3"/>
        <v>23152499.99999994</v>
      </c>
      <c r="F11" s="9">
        <v>4</v>
      </c>
      <c r="G11" s="73">
        <f t="shared" si="1"/>
        <v>58564000.000000015</v>
      </c>
      <c r="H11" s="76">
        <f t="shared" si="4"/>
        <v>5324000</v>
      </c>
      <c r="J11" s="9">
        <v>4</v>
      </c>
      <c r="K11" s="57">
        <f t="shared" si="0"/>
        <v>544766500</v>
      </c>
      <c r="L11" s="57">
        <f t="shared" si="5"/>
        <v>28476499.99999994</v>
      </c>
    </row>
    <row r="12" spans="2:12" ht="16.5" x14ac:dyDescent="0.3">
      <c r="B12" s="9">
        <v>5</v>
      </c>
      <c r="C12" s="29">
        <f t="shared" si="2"/>
        <v>510512625.00000006</v>
      </c>
      <c r="D12" s="29">
        <f t="shared" si="3"/>
        <v>24310125.00000006</v>
      </c>
      <c r="F12" s="9">
        <v>5</v>
      </c>
      <c r="G12" s="73">
        <f t="shared" si="1"/>
        <v>64420400.000000022</v>
      </c>
      <c r="H12" s="76">
        <f t="shared" si="4"/>
        <v>5856400.0000000075</v>
      </c>
      <c r="J12" s="9">
        <v>5</v>
      </c>
      <c r="K12" s="57">
        <f t="shared" si="0"/>
        <v>574933025.00000012</v>
      </c>
      <c r="L12" s="55">
        <f t="shared" si="5"/>
        <v>30166525.000000067</v>
      </c>
    </row>
    <row r="13" spans="2:12" ht="16.5" x14ac:dyDescent="0.3">
      <c r="B13" s="9">
        <v>6</v>
      </c>
      <c r="C13" s="29">
        <f t="shared" si="2"/>
        <v>536038256.25</v>
      </c>
      <c r="D13" s="29">
        <f t="shared" si="3"/>
        <v>25525631.24999994</v>
      </c>
      <c r="F13" s="9">
        <v>6</v>
      </c>
      <c r="G13" s="73">
        <f t="shared" si="1"/>
        <v>70862440.00000003</v>
      </c>
      <c r="H13" s="76">
        <f t="shared" si="4"/>
        <v>6442040.0000000075</v>
      </c>
      <c r="J13" s="9">
        <v>6</v>
      </c>
      <c r="K13" s="57">
        <f t="shared" si="0"/>
        <v>606900696.25</v>
      </c>
      <c r="L13" s="55">
        <f t="shared" si="5"/>
        <v>31967671.249999948</v>
      </c>
    </row>
    <row r="14" spans="2:12" ht="16.5" x14ac:dyDescent="0.3">
      <c r="B14" s="9">
        <v>7</v>
      </c>
      <c r="C14" s="29">
        <f t="shared" si="2"/>
        <v>562840169.06250012</v>
      </c>
      <c r="D14" s="29">
        <f t="shared" si="3"/>
        <v>26801912.812500119</v>
      </c>
      <c r="F14" s="9">
        <v>7</v>
      </c>
      <c r="G14" s="73">
        <f t="shared" si="1"/>
        <v>77948684.000000045</v>
      </c>
      <c r="H14" s="76">
        <f t="shared" si="4"/>
        <v>7086244.0000000149</v>
      </c>
      <c r="J14" s="9">
        <v>7</v>
      </c>
      <c r="K14" s="57">
        <f t="shared" si="0"/>
        <v>640788853.06250012</v>
      </c>
      <c r="L14" s="57">
        <f t="shared" si="5"/>
        <v>33888156.812500134</v>
      </c>
    </row>
    <row r="15" spans="2:12" ht="16.5" x14ac:dyDescent="0.3">
      <c r="B15" s="9">
        <v>8</v>
      </c>
      <c r="C15" s="29">
        <f t="shared" si="2"/>
        <v>590982177.515625</v>
      </c>
      <c r="D15" s="29">
        <f t="shared" si="3"/>
        <v>28142008.453124881</v>
      </c>
      <c r="F15" s="9">
        <v>8</v>
      </c>
      <c r="G15" s="73">
        <f t="shared" si="1"/>
        <v>85743552.400000051</v>
      </c>
      <c r="H15" s="76">
        <f t="shared" si="4"/>
        <v>7794868.400000006</v>
      </c>
      <c r="J15" s="9">
        <v>8</v>
      </c>
      <c r="K15" s="57">
        <f t="shared" si="0"/>
        <v>676725729.9156251</v>
      </c>
      <c r="L15" s="55">
        <f t="shared" si="5"/>
        <v>35936876.853124887</v>
      </c>
    </row>
    <row r="16" spans="2:12" ht="16.5" x14ac:dyDescent="0.3">
      <c r="B16" s="9">
        <v>9</v>
      </c>
      <c r="C16" s="29">
        <f t="shared" si="2"/>
        <v>620531286.3914063</v>
      </c>
      <c r="D16" s="29">
        <f t="shared" si="3"/>
        <v>29549108.875781298</v>
      </c>
      <c r="F16" s="9">
        <v>9</v>
      </c>
      <c r="G16" s="73">
        <f t="shared" si="1"/>
        <v>94317907.64000006</v>
      </c>
      <c r="H16" s="76">
        <f t="shared" si="4"/>
        <v>8574355.2400000095</v>
      </c>
      <c r="J16" s="9">
        <v>9</v>
      </c>
      <c r="K16" s="57">
        <f t="shared" si="0"/>
        <v>714849194.0314064</v>
      </c>
      <c r="L16" s="55">
        <f t="shared" si="5"/>
        <v>38123464.115781307</v>
      </c>
    </row>
    <row r="17" spans="2:12" ht="16.5" x14ac:dyDescent="0.3">
      <c r="B17" s="9">
        <v>10</v>
      </c>
      <c r="C17" s="28">
        <f>((1+$C$5)^B17)*$C$3</f>
        <v>651557850.7109766</v>
      </c>
      <c r="D17" s="29">
        <f t="shared" si="3"/>
        <v>31026564.319570303</v>
      </c>
      <c r="F17" s="9">
        <v>10</v>
      </c>
      <c r="G17" s="73">
        <f t="shared" si="1"/>
        <v>103749698.40400007</v>
      </c>
      <c r="H17" s="76">
        <f t="shared" si="4"/>
        <v>9431790.7640000135</v>
      </c>
      <c r="J17" s="9">
        <v>10</v>
      </c>
      <c r="K17" s="57">
        <f t="shared" si="0"/>
        <v>755307549.11497664</v>
      </c>
      <c r="L17" s="57">
        <f t="shared" si="5"/>
        <v>40458355.083570316</v>
      </c>
    </row>
    <row r="18" spans="2:12" ht="16.5" x14ac:dyDescent="0.3">
      <c r="B18" s="7"/>
      <c r="C18" s="7"/>
      <c r="D18" s="7"/>
      <c r="J18" s="77" t="s">
        <v>70</v>
      </c>
      <c r="K18" s="78">
        <f>SUM(K7:K17)</f>
        <v>6423961547.3745079</v>
      </c>
      <c r="L18" s="79">
        <f>SUM(L7:L17)</f>
        <v>315307549.1149767</v>
      </c>
    </row>
    <row r="19" spans="2:12" ht="16.5" x14ac:dyDescent="0.3">
      <c r="B19" s="7"/>
      <c r="C19" s="20" t="s">
        <v>39</v>
      </c>
      <c r="D19" s="72">
        <f>C3*((1+C5)^10)</f>
        <v>651557850.7109766</v>
      </c>
    </row>
    <row r="20" spans="2:12" ht="16.5" x14ac:dyDescent="0.3">
      <c r="B20" s="7"/>
      <c r="C20" s="7"/>
      <c r="D20" s="7"/>
    </row>
  </sheetData>
  <mergeCells count="1">
    <mergeCell ref="B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D13" sqref="D13"/>
    </sheetView>
  </sheetViews>
  <sheetFormatPr defaultRowHeight="15" x14ac:dyDescent="0.25"/>
  <cols>
    <col min="1" max="1" width="23.42578125" style="111" bestFit="1" customWidth="1"/>
    <col min="2" max="2" width="25.140625" style="111" bestFit="1" customWidth="1"/>
    <col min="3" max="3" width="9.140625" style="111"/>
    <col min="4" max="4" width="5.85546875" style="111" bestFit="1" customWidth="1"/>
    <col min="5" max="6" width="22.140625" style="111" bestFit="1" customWidth="1"/>
    <col min="7" max="7" width="14.85546875" style="111" bestFit="1" customWidth="1"/>
    <col min="8" max="16384" width="9.140625" style="111"/>
  </cols>
  <sheetData>
    <row r="1" spans="1:7" x14ac:dyDescent="0.25">
      <c r="A1" s="112" t="s">
        <v>84</v>
      </c>
      <c r="B1" s="50" t="s">
        <v>85</v>
      </c>
      <c r="F1" s="105"/>
      <c r="G1" s="105"/>
    </row>
    <row r="2" spans="1:7" x14ac:dyDescent="0.25">
      <c r="A2" s="113" t="s">
        <v>52</v>
      </c>
      <c r="B2" s="113" t="s">
        <v>90</v>
      </c>
      <c r="D2" s="50" t="s">
        <v>55</v>
      </c>
      <c r="E2" s="50" t="s">
        <v>86</v>
      </c>
      <c r="F2" s="105"/>
      <c r="G2" s="105"/>
    </row>
    <row r="3" spans="1:7" x14ac:dyDescent="0.25">
      <c r="A3" s="106">
        <v>0</v>
      </c>
      <c r="B3" s="107">
        <f>((1+$B$15)^A3)*$B$14</f>
        <v>500000000</v>
      </c>
      <c r="D3" s="53">
        <v>0</v>
      </c>
      <c r="E3" s="104">
        <f>((1+$B$16)^D3)*B3</f>
        <v>500000000</v>
      </c>
      <c r="F3" s="105"/>
      <c r="G3" s="108"/>
    </row>
    <row r="4" spans="1:7" x14ac:dyDescent="0.25">
      <c r="A4" s="106">
        <v>1</v>
      </c>
      <c r="B4" s="107">
        <f>((1+$B$15)^A4)*$B$14</f>
        <v>525000000</v>
      </c>
      <c r="D4" s="53">
        <v>1</v>
      </c>
      <c r="E4" s="104">
        <f>((1+$B$16)^D4)*B4</f>
        <v>603750000</v>
      </c>
      <c r="F4" s="105"/>
      <c r="G4" s="108"/>
    </row>
    <row r="5" spans="1:7" x14ac:dyDescent="0.25">
      <c r="A5" s="106">
        <v>2</v>
      </c>
      <c r="B5" s="107">
        <f t="shared" ref="B5:B12" si="0">((1+$B$15)^A5)*$B$14</f>
        <v>551250000</v>
      </c>
      <c r="D5" s="53">
        <v>2</v>
      </c>
      <c r="E5" s="104">
        <f t="shared" ref="E5:E12" si="1">((1+$B$16)^D5)*B5</f>
        <v>729028124.99999988</v>
      </c>
      <c r="F5" s="105"/>
      <c r="G5" s="108"/>
    </row>
    <row r="6" spans="1:7" x14ac:dyDescent="0.25">
      <c r="A6" s="106">
        <v>3</v>
      </c>
      <c r="B6" s="107">
        <f t="shared" si="0"/>
        <v>578812500.00000012</v>
      </c>
      <c r="D6" s="53">
        <v>3</v>
      </c>
      <c r="E6" s="104">
        <f t="shared" si="1"/>
        <v>880301460.93749988</v>
      </c>
      <c r="F6" s="105"/>
      <c r="G6" s="108"/>
    </row>
    <row r="7" spans="1:7" x14ac:dyDescent="0.25">
      <c r="A7" s="106">
        <v>4</v>
      </c>
      <c r="B7" s="107">
        <f t="shared" si="0"/>
        <v>607753125</v>
      </c>
      <c r="D7" s="53">
        <v>4</v>
      </c>
      <c r="E7" s="104">
        <f t="shared" si="1"/>
        <v>1062964014.0820309</v>
      </c>
      <c r="F7" s="105"/>
      <c r="G7" s="108"/>
    </row>
    <row r="8" spans="1:7" x14ac:dyDescent="0.25">
      <c r="A8" s="106">
        <v>5</v>
      </c>
      <c r="B8" s="107">
        <f t="shared" si="0"/>
        <v>638140781.25000012</v>
      </c>
      <c r="D8" s="53">
        <v>5</v>
      </c>
      <c r="E8" s="104">
        <f t="shared" si="1"/>
        <v>1283529047.0040526</v>
      </c>
      <c r="F8" s="105"/>
      <c r="G8" s="108"/>
    </row>
    <row r="9" spans="1:7" x14ac:dyDescent="0.25">
      <c r="A9" s="106">
        <v>6</v>
      </c>
      <c r="B9" s="107">
        <f t="shared" si="0"/>
        <v>670047820.3125</v>
      </c>
      <c r="D9" s="53">
        <v>6</v>
      </c>
      <c r="E9" s="104">
        <f t="shared" si="1"/>
        <v>1549861324.2573931</v>
      </c>
      <c r="F9" s="105"/>
      <c r="G9" s="108"/>
    </row>
    <row r="10" spans="1:7" x14ac:dyDescent="0.25">
      <c r="A10" s="106">
        <v>7</v>
      </c>
      <c r="B10" s="107">
        <f t="shared" si="0"/>
        <v>703550211.32812512</v>
      </c>
      <c r="D10" s="53">
        <v>7</v>
      </c>
      <c r="E10" s="104">
        <f t="shared" si="1"/>
        <v>1871457549.040802</v>
      </c>
      <c r="F10" s="105"/>
      <c r="G10" s="108"/>
    </row>
    <row r="11" spans="1:7" x14ac:dyDescent="0.25">
      <c r="A11" s="106">
        <v>8</v>
      </c>
      <c r="B11" s="107">
        <f t="shared" si="0"/>
        <v>738727721.89453125</v>
      </c>
      <c r="D11" s="53">
        <v>8</v>
      </c>
      <c r="E11" s="104">
        <f t="shared" si="1"/>
        <v>2259784990.4667678</v>
      </c>
      <c r="F11" s="105"/>
      <c r="G11" s="108"/>
    </row>
    <row r="12" spans="1:7" x14ac:dyDescent="0.25">
      <c r="A12" s="106">
        <v>9</v>
      </c>
      <c r="B12" s="107">
        <f t="shared" si="0"/>
        <v>775664107.98925793</v>
      </c>
      <c r="D12" s="53">
        <v>9</v>
      </c>
      <c r="E12" s="104">
        <f t="shared" si="1"/>
        <v>2728690375.9886222</v>
      </c>
      <c r="F12" s="105"/>
      <c r="G12" s="108"/>
    </row>
    <row r="14" spans="1:7" x14ac:dyDescent="0.25">
      <c r="A14" s="114" t="s">
        <v>89</v>
      </c>
      <c r="B14" s="109">
        <v>500000000</v>
      </c>
    </row>
    <row r="15" spans="1:7" x14ac:dyDescent="0.25">
      <c r="A15" s="114" t="s">
        <v>87</v>
      </c>
      <c r="B15" s="110">
        <v>0.05</v>
      </c>
    </row>
    <row r="16" spans="1:7" x14ac:dyDescent="0.25">
      <c r="A16" s="114" t="s">
        <v>88</v>
      </c>
      <c r="B16" s="110">
        <v>0.15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G4" sqref="G4"/>
    </sheetView>
  </sheetViews>
  <sheetFormatPr defaultRowHeight="15" x14ac:dyDescent="0.25"/>
  <cols>
    <col min="2" max="2" width="24.85546875" customWidth="1"/>
    <col min="3" max="3" width="25.28515625" customWidth="1"/>
    <col min="4" max="4" width="27.7109375" customWidth="1"/>
    <col min="5" max="5" width="22" customWidth="1"/>
  </cols>
  <sheetData>
    <row r="1" spans="1:5" ht="30" x14ac:dyDescent="0.25">
      <c r="A1" s="117"/>
      <c r="B1" s="118" t="s">
        <v>110</v>
      </c>
      <c r="C1" s="119" t="s">
        <v>92</v>
      </c>
      <c r="D1" s="118" t="s">
        <v>91</v>
      </c>
      <c r="E1" s="117" t="s">
        <v>93</v>
      </c>
    </row>
    <row r="2" spans="1:5" x14ac:dyDescent="0.25">
      <c r="A2" s="89" t="s">
        <v>94</v>
      </c>
      <c r="B2" s="89">
        <f>$C$20*'Total Revenue'!B2</f>
        <v>389000000</v>
      </c>
      <c r="C2" s="89">
        <f>$C$18*'Total Revenue'!B2</f>
        <v>778000000</v>
      </c>
      <c r="D2" s="89">
        <f>$C$19*'Total Revenue'!B2</f>
        <v>466800000</v>
      </c>
      <c r="E2" s="128">
        <f>B2+C2-D2</f>
        <v>700200000</v>
      </c>
    </row>
    <row r="3" spans="1:5" x14ac:dyDescent="0.25">
      <c r="A3" s="89" t="s">
        <v>95</v>
      </c>
      <c r="B3" s="89">
        <f>$C$20*'Total Revenue'!B3</f>
        <v>416497500</v>
      </c>
      <c r="C3" s="89">
        <f>$C$18*'Total Revenue'!B3</f>
        <v>832995000</v>
      </c>
      <c r="D3" s="89">
        <f>$C$19*'Total Revenue'!B3</f>
        <v>499797000</v>
      </c>
      <c r="E3" s="128">
        <f t="shared" ref="E3:E10" si="0">B3+C3-D3</f>
        <v>749695500</v>
      </c>
    </row>
    <row r="4" spans="1:5" x14ac:dyDescent="0.25">
      <c r="A4" s="89" t="s">
        <v>96</v>
      </c>
      <c r="B4" s="89">
        <f>$C$20*'Total Revenue'!B4</f>
        <v>446174530.5</v>
      </c>
      <c r="C4" s="89">
        <f>$C$18*'Total Revenue'!B4</f>
        <v>892349061</v>
      </c>
      <c r="D4" s="89">
        <f>$C$19*'Total Revenue'!B4</f>
        <v>535409436.59999996</v>
      </c>
      <c r="E4" s="128">
        <f t="shared" si="0"/>
        <v>803114154.9000001</v>
      </c>
    </row>
    <row r="5" spans="1:5" x14ac:dyDescent="0.25">
      <c r="A5" s="89" t="s">
        <v>97</v>
      </c>
      <c r="B5" s="89">
        <f>$C$20*'Total Revenue'!B5</f>
        <v>478220385.46410018</v>
      </c>
      <c r="C5" s="89">
        <f>$C$18*'Total Revenue'!B5</f>
        <v>956440770.92820036</v>
      </c>
      <c r="D5" s="89">
        <f>$C$19*'Total Revenue'!B5</f>
        <v>573864462.55692017</v>
      </c>
      <c r="E5" s="128">
        <f t="shared" si="0"/>
        <v>860796693.83538043</v>
      </c>
    </row>
    <row r="6" spans="1:5" x14ac:dyDescent="0.25">
      <c r="A6" s="89" t="s">
        <v>98</v>
      </c>
      <c r="B6" s="89">
        <f>$C$20*'Total Revenue'!B6</f>
        <v>512841836.87964654</v>
      </c>
      <c r="C6" s="89">
        <f>$C$18*'Total Revenue'!B6</f>
        <v>1025683673.7592931</v>
      </c>
      <c r="D6" s="89">
        <f>$C$19*'Total Revenue'!B6</f>
        <v>615410204.25557578</v>
      </c>
      <c r="E6" s="128">
        <f t="shared" si="0"/>
        <v>923115306.38336384</v>
      </c>
    </row>
    <row r="7" spans="1:5" x14ac:dyDescent="0.25">
      <c r="A7" s="89" t="s">
        <v>99</v>
      </c>
      <c r="B7" s="89">
        <f>$C$20*'Total Revenue'!B7</f>
        <v>550264808.09388566</v>
      </c>
      <c r="C7" s="89">
        <f>$C$18*'Total Revenue'!B7</f>
        <v>1100529616.1877713</v>
      </c>
      <c r="D7" s="89">
        <f>$C$19*'Total Revenue'!B7</f>
        <v>660317769.7126627</v>
      </c>
      <c r="E7" s="128">
        <f t="shared" si="0"/>
        <v>990476654.56899428</v>
      </c>
    </row>
    <row r="8" spans="1:5" x14ac:dyDescent="0.25">
      <c r="A8" s="89" t="s">
        <v>100</v>
      </c>
      <c r="B8" s="89">
        <f>$C$20*'Total Revenue'!B8</f>
        <v>590736210.57475185</v>
      </c>
      <c r="C8" s="89">
        <f>$C$18*'Total Revenue'!B8</f>
        <v>1181472421.1495037</v>
      </c>
      <c r="D8" s="89">
        <f>$C$19*'Total Revenue'!B8</f>
        <v>708883452.68970215</v>
      </c>
      <c r="E8" s="128">
        <f t="shared" si="0"/>
        <v>1063325179.0345534</v>
      </c>
    </row>
    <row r="9" spans="1:5" x14ac:dyDescent="0.25">
      <c r="A9" s="89" t="s">
        <v>101</v>
      </c>
      <c r="B9" s="89">
        <f>$C$20*'Total Revenue'!B9</f>
        <v>634525960.22470081</v>
      </c>
      <c r="C9" s="89">
        <f>$C$18*'Total Revenue'!B9</f>
        <v>1269051920.4494016</v>
      </c>
      <c r="D9" s="89">
        <f>$C$19*'Total Revenue'!B9</f>
        <v>761431152.2696408</v>
      </c>
      <c r="E9" s="128">
        <f t="shared" si="0"/>
        <v>1142146728.4044614</v>
      </c>
    </row>
    <row r="10" spans="1:5" x14ac:dyDescent="0.25">
      <c r="A10" s="89" t="s">
        <v>102</v>
      </c>
      <c r="B10" s="89">
        <f>$C$20*'Total Revenue'!B10</f>
        <v>681929190.97696865</v>
      </c>
      <c r="C10" s="89">
        <f>$C$18*'Total Revenue'!B10</f>
        <v>1363858381.9539373</v>
      </c>
      <c r="D10" s="89">
        <f>$C$19*'Total Revenue'!B10</f>
        <v>818315029.17236221</v>
      </c>
      <c r="E10" s="128">
        <f t="shared" si="0"/>
        <v>1227472543.7585435</v>
      </c>
    </row>
    <row r="18" spans="2:3" x14ac:dyDescent="0.25">
      <c r="B18" t="s">
        <v>92</v>
      </c>
      <c r="C18" s="127">
        <v>0.1</v>
      </c>
    </row>
    <row r="19" spans="2:3" x14ac:dyDescent="0.25">
      <c r="B19" t="s">
        <v>109</v>
      </c>
      <c r="C19" s="127">
        <v>0.06</v>
      </c>
    </row>
    <row r="20" spans="2:3" x14ac:dyDescent="0.25">
      <c r="B20" t="s">
        <v>108</v>
      </c>
      <c r="C20" s="127">
        <v>0.05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F15" sqref="F15"/>
    </sheetView>
  </sheetViews>
  <sheetFormatPr defaultRowHeight="15" x14ac:dyDescent="0.25"/>
  <cols>
    <col min="1" max="1" width="11" bestFit="1" customWidth="1"/>
    <col min="3" max="3" width="21.140625" bestFit="1" customWidth="1"/>
    <col min="4" max="4" width="13.85546875" bestFit="1" customWidth="1"/>
    <col min="6" max="6" width="27.140625" bestFit="1" customWidth="1"/>
    <col min="7" max="7" width="18.42578125" customWidth="1"/>
    <col min="9" max="9" width="11.7109375" bestFit="1" customWidth="1"/>
    <col min="10" max="10" width="11" bestFit="1" customWidth="1"/>
  </cols>
  <sheetData>
    <row r="1" spans="1:10" ht="15.75" customHeight="1" x14ac:dyDescent="0.25">
      <c r="A1" s="81" t="s">
        <v>75</v>
      </c>
      <c r="C1" s="46" t="s">
        <v>74</v>
      </c>
      <c r="D1" s="86">
        <v>30000000</v>
      </c>
      <c r="F1" s="82" t="s">
        <v>76</v>
      </c>
    </row>
    <row r="2" spans="1:10" x14ac:dyDescent="0.25">
      <c r="C2" s="46" t="s">
        <v>73</v>
      </c>
      <c r="D2" s="68">
        <v>0.03</v>
      </c>
    </row>
    <row r="3" spans="1:10" x14ac:dyDescent="0.25">
      <c r="F3" s="49" t="s">
        <v>77</v>
      </c>
      <c r="G3" s="84">
        <v>87.5</v>
      </c>
      <c r="I3" s="46" t="s">
        <v>81</v>
      </c>
      <c r="J3" s="46">
        <v>2432000000</v>
      </c>
    </row>
    <row r="4" spans="1:10" x14ac:dyDescent="0.25">
      <c r="F4" s="49" t="s">
        <v>78</v>
      </c>
      <c r="G4" s="85">
        <v>251430000</v>
      </c>
      <c r="I4" s="46" t="s">
        <v>82</v>
      </c>
      <c r="J4" s="46">
        <f>J3/1000000000</f>
        <v>2.4319999999999999</v>
      </c>
    </row>
    <row r="5" spans="1:10" x14ac:dyDescent="0.25">
      <c r="A5" s="43" t="s">
        <v>52</v>
      </c>
      <c r="B5" s="43" t="s">
        <v>12</v>
      </c>
      <c r="C5" s="43" t="s">
        <v>72</v>
      </c>
      <c r="F5" s="49" t="s">
        <v>79</v>
      </c>
      <c r="G5" s="49">
        <f>G4/1000000</f>
        <v>251.43</v>
      </c>
    </row>
    <row r="6" spans="1:10" x14ac:dyDescent="0.25">
      <c r="A6" s="43">
        <v>0</v>
      </c>
      <c r="B6" s="43">
        <v>1</v>
      </c>
      <c r="C6" s="80">
        <f>((1+$D$2)^A6)*$D$1</f>
        <v>30000000</v>
      </c>
    </row>
    <row r="7" spans="1:10" x14ac:dyDescent="0.25">
      <c r="A7" s="43">
        <v>1</v>
      </c>
      <c r="B7" s="43">
        <v>2</v>
      </c>
      <c r="C7" s="80">
        <f t="shared" ref="C7:C15" si="0">((1+$D$2)^A7)*$D$1</f>
        <v>30900000</v>
      </c>
      <c r="F7" s="48" t="s">
        <v>80</v>
      </c>
      <c r="G7" s="83">
        <f>G4*G3</f>
        <v>22000125000</v>
      </c>
    </row>
    <row r="8" spans="1:10" x14ac:dyDescent="0.25">
      <c r="A8" s="43">
        <v>2</v>
      </c>
      <c r="B8" s="43">
        <v>3</v>
      </c>
      <c r="C8" s="80">
        <f t="shared" si="0"/>
        <v>31827000</v>
      </c>
    </row>
    <row r="9" spans="1:10" x14ac:dyDescent="0.25">
      <c r="A9" s="43">
        <v>3</v>
      </c>
      <c r="B9" s="43">
        <v>4</v>
      </c>
      <c r="C9" s="80">
        <f t="shared" si="0"/>
        <v>32781810</v>
      </c>
    </row>
    <row r="10" spans="1:10" x14ac:dyDescent="0.25">
      <c r="A10" s="43">
        <v>4</v>
      </c>
      <c r="B10" s="43">
        <v>5</v>
      </c>
      <c r="C10" s="80">
        <f t="shared" si="0"/>
        <v>33765264.299999997</v>
      </c>
    </row>
    <row r="11" spans="1:10" x14ac:dyDescent="0.25">
      <c r="A11" s="43">
        <v>5</v>
      </c>
      <c r="B11" s="43">
        <v>6</v>
      </c>
      <c r="C11" s="80">
        <f t="shared" si="0"/>
        <v>34778222.228999995</v>
      </c>
    </row>
    <row r="12" spans="1:10" x14ac:dyDescent="0.25">
      <c r="A12" s="43">
        <v>6</v>
      </c>
      <c r="B12" s="43">
        <v>7</v>
      </c>
      <c r="C12" s="80">
        <f t="shared" si="0"/>
        <v>35821568.89587</v>
      </c>
    </row>
    <row r="13" spans="1:10" x14ac:dyDescent="0.25">
      <c r="A13" s="43">
        <v>7</v>
      </c>
      <c r="B13" s="43">
        <v>8</v>
      </c>
      <c r="C13" s="80">
        <f t="shared" si="0"/>
        <v>36896215.962746099</v>
      </c>
    </row>
    <row r="14" spans="1:10" x14ac:dyDescent="0.25">
      <c r="A14" s="43">
        <v>8</v>
      </c>
      <c r="B14" s="43">
        <v>9</v>
      </c>
      <c r="C14" s="80">
        <f t="shared" si="0"/>
        <v>38003102.441628478</v>
      </c>
    </row>
    <row r="15" spans="1:10" x14ac:dyDescent="0.25">
      <c r="A15" s="43">
        <v>9</v>
      </c>
      <c r="B15" s="43">
        <v>10</v>
      </c>
      <c r="C15" s="80">
        <f t="shared" si="0"/>
        <v>39143195.514877334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Introductory Costs</vt:lpstr>
      <vt:lpstr>Market Potential and Share</vt:lpstr>
      <vt:lpstr>Pricing and Unit Costs</vt:lpstr>
      <vt:lpstr>New Participants in Alternium</vt:lpstr>
      <vt:lpstr>Server Facilities and Costs</vt:lpstr>
      <vt:lpstr>G&amp;A Expenses</vt:lpstr>
      <vt:lpstr>Advertising Expenses</vt:lpstr>
      <vt:lpstr>Working Capital</vt:lpstr>
      <vt:lpstr>Side Benefits</vt:lpstr>
      <vt:lpstr>Equity and Debt</vt:lpstr>
      <vt:lpstr>Total Revenue</vt:lpstr>
      <vt:lpstr>Total Expenses</vt:lpstr>
      <vt:lpstr>Cashflows</vt:lpstr>
      <vt:lpstr>Assumption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Lokit Nagi</dc:creator>
  <cp:lastModifiedBy>Lokit Nagi</cp:lastModifiedBy>
  <dcterms:created xsi:type="dcterms:W3CDTF">2022-02-12T18:08:10Z</dcterms:created>
  <dcterms:modified xsi:type="dcterms:W3CDTF">2022-02-20T16:32:05Z</dcterms:modified>
</cp:coreProperties>
</file>